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bookViews>
    <workbookView xWindow="0" yWindow="0" windowWidth="24000" windowHeight="9285"/>
  </bookViews>
  <sheets>
    <sheet name="Futterplan" sheetId="1" r:id="rId1"/>
    <sheet name="Fleischbestellung" sheetId="2" r:id="rId2"/>
  </sheets>
  <definedNames>
    <definedName name="Bestellmengen">Fleischbestellung!$L$7:$L$12</definedName>
    <definedName name="BestellmengenMA">Fleischbestellung!$L$6:$L$12</definedName>
    <definedName name="bitte_wählen">Fleischbestellung!$L$6:$L$12</definedName>
    <definedName name="_xlnm.Print_Area" localSheetId="0">Futterplan!$C$1:$W$50</definedName>
    <definedName name="Mengenauswahl">Fleischbestellung!$L$6:$L$12</definedName>
  </definedNames>
  <calcPr calcId="152511"/>
</workbook>
</file>

<file path=xl/calcChain.xml><?xml version="1.0" encoding="utf-8"?>
<calcChain xmlns="http://schemas.openxmlformats.org/spreadsheetml/2006/main">
  <c r="B28" i="2" l="1"/>
  <c r="C28" i="2"/>
  <c r="G28" i="2" s="1"/>
  <c r="G27" i="2"/>
  <c r="D27" i="2"/>
  <c r="D28" i="2" l="1"/>
  <c r="E28" i="2"/>
  <c r="F28" i="2"/>
  <c r="G29" i="1"/>
  <c r="O8" i="1"/>
  <c r="D29" i="1" s="1"/>
  <c r="L29" i="1" s="1"/>
  <c r="O9" i="1"/>
  <c r="O7" i="1"/>
  <c r="G43" i="1" l="1"/>
  <c r="D43" i="1" s="1"/>
  <c r="L43" i="1" s="1"/>
  <c r="T40" i="1" s="1"/>
  <c r="G15" i="1"/>
  <c r="D15" i="1" s="1"/>
  <c r="L15" i="1" l="1"/>
  <c r="T12" i="1" s="1"/>
  <c r="E31" i="1"/>
  <c r="E32" i="1" s="1"/>
  <c r="T26" i="1"/>
  <c r="I45" i="1"/>
  <c r="I50" i="1" s="1"/>
  <c r="E45" i="1"/>
  <c r="E46" i="1" s="1"/>
  <c r="K41" i="1"/>
  <c r="K27" i="1"/>
  <c r="K13" i="1"/>
  <c r="S39" i="1"/>
  <c r="C41" i="1"/>
  <c r="C27" i="1"/>
  <c r="S25" i="1"/>
  <c r="C13" i="1"/>
  <c r="E17" i="1" l="1"/>
  <c r="E18" i="1" s="1"/>
  <c r="E19" i="1" s="1"/>
  <c r="Q17" i="1"/>
  <c r="M17" i="1"/>
  <c r="I46" i="1"/>
  <c r="I48" i="1"/>
  <c r="G49" i="1"/>
  <c r="M45" i="1"/>
  <c r="M46" i="1" s="1"/>
  <c r="Q45" i="1"/>
  <c r="E33" i="1"/>
  <c r="I31" i="1"/>
  <c r="G35" i="1" s="1"/>
  <c r="T42" i="1"/>
  <c r="T45" i="1" l="1"/>
  <c r="T50" i="1"/>
  <c r="T46" i="1"/>
  <c r="T49" i="1"/>
  <c r="T48" i="1"/>
  <c r="T47" i="1"/>
  <c r="T43" i="1"/>
  <c r="Q48" i="1"/>
  <c r="Q46" i="1"/>
  <c r="Q50" i="1"/>
  <c r="T44" i="1"/>
  <c r="I36" i="1"/>
  <c r="I34" i="1"/>
  <c r="I32" i="1"/>
  <c r="Q31" i="1"/>
  <c r="M31" i="1"/>
  <c r="M32" i="1" s="1"/>
  <c r="O49" i="1"/>
  <c r="E47" i="1"/>
  <c r="T35" i="1" l="1"/>
  <c r="T34" i="1"/>
  <c r="T33" i="1"/>
  <c r="T36" i="1"/>
  <c r="T32" i="1"/>
  <c r="I47" i="1"/>
  <c r="Q32" i="1"/>
  <c r="Q36" i="1"/>
  <c r="Q34" i="1"/>
  <c r="T31" i="1"/>
  <c r="T29" i="1"/>
  <c r="T28" i="1"/>
  <c r="T30" i="1"/>
  <c r="I33" i="1"/>
  <c r="M47" i="1"/>
  <c r="Q47" i="1" l="1"/>
  <c r="S11" i="1" l="1"/>
  <c r="C29" i="2" l="1"/>
  <c r="F27" i="2"/>
  <c r="E27" i="2"/>
  <c r="C27" i="2" l="1"/>
  <c r="D30" i="2" s="1"/>
  <c r="I17" i="1"/>
  <c r="G30" i="2" l="1"/>
  <c r="F30" i="2"/>
  <c r="E30" i="2"/>
  <c r="B32" i="2"/>
  <c r="I18" i="1"/>
  <c r="I20" i="1"/>
  <c r="I22" i="1"/>
  <c r="G21" i="1"/>
  <c r="T17" i="1"/>
  <c r="R21" i="1"/>
  <c r="O35" i="1"/>
  <c r="C30" i="2" l="1"/>
  <c r="I19" i="1"/>
  <c r="M18" i="1"/>
  <c r="M19" i="1" s="1"/>
  <c r="T19" i="1"/>
  <c r="T22" i="1"/>
  <c r="T18" i="1"/>
  <c r="T21" i="1"/>
  <c r="T20" i="1"/>
  <c r="Q22" i="1"/>
  <c r="R22" i="1" s="1"/>
  <c r="Q20" i="1"/>
  <c r="R20" i="1" s="1"/>
  <c r="Q18" i="1"/>
  <c r="R18" i="1" s="1"/>
  <c r="T15" i="1"/>
  <c r="T16" i="1"/>
  <c r="T14" i="1"/>
  <c r="O21" i="1"/>
  <c r="M33" i="1"/>
  <c r="Q19" i="1" l="1"/>
  <c r="R19" i="1" s="1"/>
  <c r="Q33" i="1"/>
</calcChain>
</file>

<file path=xl/sharedStrings.xml><?xml version="1.0" encoding="utf-8"?>
<sst xmlns="http://schemas.openxmlformats.org/spreadsheetml/2006/main" count="164" uniqueCount="78">
  <si>
    <t>Gemüse</t>
  </si>
  <si>
    <t>Obst</t>
  </si>
  <si>
    <t>Innereien</t>
  </si>
  <si>
    <t>RFK</t>
  </si>
  <si>
    <t>Calciumbedarf in mg/Tag:</t>
  </si>
  <si>
    <t>Bezeichnung</t>
  </si>
  <si>
    <t>Rinderhack</t>
  </si>
  <si>
    <t>Rinderleber</t>
  </si>
  <si>
    <t>Rinderbrustbein</t>
  </si>
  <si>
    <t>Hühnerklein</t>
  </si>
  <si>
    <t>Putenhack</t>
  </si>
  <si>
    <t>Putenleber</t>
  </si>
  <si>
    <t>Bitte alle bestellten Produkte in Gramm eintragen.</t>
  </si>
  <si>
    <t>Rindfleisch, geschnitten</t>
  </si>
  <si>
    <t>Putenbrust</t>
  </si>
  <si>
    <t>Rinderpansen</t>
  </si>
  <si>
    <t>Rinderknochen</t>
  </si>
  <si>
    <t>Fisch (= Fleisch)</t>
  </si>
  <si>
    <t>Putenhälse</t>
  </si>
  <si>
    <t>Rinderherz</t>
  </si>
  <si>
    <t>Rindermilz</t>
  </si>
  <si>
    <t>Hühnerhälse</t>
  </si>
  <si>
    <t>Rind; Blättermagen</t>
  </si>
  <si>
    <t>Hühnermägen</t>
  </si>
  <si>
    <t>Hühnerflügel</t>
  </si>
  <si>
    <t>Ausgewachsener Hund</t>
  </si>
  <si>
    <t>Hund im Wachstum</t>
  </si>
  <si>
    <t>(nur für erwachsene Hunde)</t>
  </si>
  <si>
    <t>Bitte die grauen Felder anklicken und entsprechend ausfüllen!</t>
  </si>
  <si>
    <t>Summe Tierische Erzeugnisse</t>
  </si>
  <si>
    <t>Summe Pflanzliche Erzeugnisse</t>
  </si>
  <si>
    <t>Muskelfleisch (durchwachsen)</t>
  </si>
  <si>
    <t>Knochenmehl</t>
  </si>
  <si>
    <t>Wie viele Hunde haben Sie?</t>
  </si>
  <si>
    <t>Ca-Citrat</t>
  </si>
  <si>
    <t>Ca-Carbonat</t>
  </si>
  <si>
    <t>Eierschalenpulver</t>
  </si>
  <si>
    <t>Hühnerkarkassen</t>
  </si>
  <si>
    <t>Putenhals</t>
  </si>
  <si>
    <t>abgedeckt durch entweder:</t>
  </si>
  <si>
    <t>Gesamtfuttermenge/Woche in g:</t>
  </si>
  <si>
    <t>Gesamtfuttermenge/Tag in g:</t>
  </si>
  <si>
    <t>Erläuterung? Klick!</t>
  </si>
  <si>
    <t>Pansen / Blättermagen</t>
  </si>
  <si>
    <t>(davon min. Leber:</t>
  </si>
  <si>
    <t>BARF-Rationsberechnung ohne Getreide</t>
  </si>
  <si>
    <t>Knochenmehl: 25 % Calcium</t>
  </si>
  <si>
    <t>Rundungsfaktor</t>
  </si>
  <si>
    <t>Bestellhilfe Fleisch</t>
  </si>
  <si>
    <t>Beutetierkonzept gleich beim Einkauf einhalten</t>
  </si>
  <si>
    <t>Name des Hundes</t>
  </si>
  <si>
    <t>Fastentage pro Woche</t>
  </si>
  <si>
    <t>Futtermenge</t>
  </si>
  <si>
    <t>Gewicht in kg</t>
  </si>
  <si>
    <t>kastriert ?</t>
  </si>
  <si>
    <t>ja</t>
  </si>
  <si>
    <t>nein</t>
  </si>
  <si>
    <t>Aktivitätsgrad</t>
  </si>
  <si>
    <t>0-2 Std/Tag</t>
  </si>
  <si>
    <t>2-3 Std/Tag</t>
  </si>
  <si>
    <t>3-4 Std/Tag</t>
  </si>
  <si>
    <t>4-5 Std/Tag</t>
  </si>
  <si>
    <t>5-6 Std/Tag</t>
  </si>
  <si>
    <t>6+ Std/Tag</t>
  </si>
  <si>
    <t>Faktor</t>
  </si>
  <si>
    <t>Hund 1</t>
  </si>
  <si>
    <t>Hund 2</t>
  </si>
  <si>
    <t>Hund 3</t>
  </si>
  <si>
    <t>gewünschte Gesamtbestellmenge:</t>
  </si>
  <si>
    <t>kg</t>
  </si>
  <si>
    <t>Anteil Soll</t>
  </si>
  <si>
    <t>Anzeil Ist</t>
  </si>
  <si>
    <t>Gesamt Ist [g]</t>
  </si>
  <si>
    <t>Fleisch [g]</t>
  </si>
  <si>
    <t>Pansen [g]</t>
  </si>
  <si>
    <t>Innereien [g]</t>
  </si>
  <si>
    <t>RFK [g]</t>
  </si>
  <si>
    <t>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</si>
</sst>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%"/>
  </numFmts>
  <fonts count="2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643ED9"/>
      <name val="Arial"/>
      <family val="2"/>
    </font>
    <font>
      <sz val="10"/>
      <color rgb="FF643ED9"/>
      <name val="Arial"/>
      <family val="2"/>
    </font>
    <font>
      <b/>
      <sz val="10"/>
      <color rgb="FFD94C3D"/>
      <name val="Arial"/>
      <family val="2"/>
    </font>
    <font>
      <sz val="10"/>
      <color rgb="FFD94C3D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614F46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1"/>
      <name val="Segoe UI"/>
      <family val="2"/>
    </font>
    <font>
      <sz val="28"/>
      <color rgb="FF0070C0"/>
      <name val="Bitter"/>
    </font>
    <font>
      <b/>
      <sz val="10"/>
      <color rgb="FF0070C0"/>
      <name val="Arial"/>
      <family val="2"/>
    </font>
    <font>
      <b/>
      <sz val="12"/>
      <color rgb="FF0070C0"/>
      <name val="Bitter"/>
    </font>
    <font>
      <sz val="11"/>
      <color theme="0"/>
      <name val="Segoe UI"/>
      <family val="2"/>
    </font>
    <font>
      <b/>
      <sz val="10"/>
      <name val="Arial"/>
      <family val="2"/>
    </font>
    <font>
      <sz val="11"/>
      <color theme="1"/>
      <name val="Bitter"/>
    </font>
    <font>
      <b/>
      <sz val="10"/>
      <color theme="0"/>
      <name val="Arial"/>
      <family val="2"/>
    </font>
    <font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164" fontId="5" fillId="2" borderId="0" xfId="0" applyNumberFormat="1" applyFont="1" applyFill="1" applyBorder="1" applyAlignment="1" applyProtection="1">
      <alignment horizontal="right"/>
      <protection hidden="1"/>
    </xf>
    <xf numFmtId="165" fontId="5" fillId="2" borderId="0" xfId="1" applyNumberFormat="1" applyFont="1" applyFill="1" applyBorder="1" applyAlignment="1" applyProtection="1">
      <alignment horizontal="right"/>
      <protection hidden="1"/>
    </xf>
    <xf numFmtId="3" fontId="2" fillId="2" borderId="0" xfId="0" applyNumberFormat="1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165" fontId="7" fillId="2" borderId="0" xfId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3" fontId="0" fillId="4" borderId="0" xfId="0" applyNumberFormat="1" applyFill="1" applyBorder="1" applyProtection="1">
      <protection hidden="1"/>
    </xf>
    <xf numFmtId="0" fontId="3" fillId="4" borderId="0" xfId="0" applyFont="1" applyFill="1" applyBorder="1" applyAlignment="1" applyProtection="1">
      <alignment horizontal="left" indent="1"/>
      <protection hidden="1"/>
    </xf>
    <xf numFmtId="164" fontId="0" fillId="4" borderId="0" xfId="0" applyNumberForma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wrapText="1"/>
      <protection hidden="1"/>
    </xf>
    <xf numFmtId="1" fontId="0" fillId="4" borderId="0" xfId="0" applyNumberForma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Alignment="1" applyProtection="1">
      <alignment horizontal="right"/>
      <protection hidden="1"/>
    </xf>
    <xf numFmtId="165" fontId="6" fillId="2" borderId="0" xfId="1" applyNumberFormat="1" applyFont="1" applyFill="1" applyBorder="1" applyAlignment="1" applyProtection="1">
      <alignment horizontal="right"/>
      <protection hidden="1"/>
    </xf>
    <xf numFmtId="0" fontId="11" fillId="2" borderId="0" xfId="2" applyFont="1" applyFill="1" applyBorder="1" applyAlignment="1" applyProtection="1">
      <protection hidden="1"/>
    </xf>
    <xf numFmtId="0" fontId="12" fillId="2" borderId="0" xfId="0" applyFont="1" applyFill="1" applyBorder="1" applyProtection="1">
      <protection hidden="1"/>
    </xf>
    <xf numFmtId="164" fontId="10" fillId="2" borderId="0" xfId="2" applyNumberFormat="1" applyFill="1" applyBorder="1" applyAlignment="1" applyProtection="1">
      <alignment vertical="center" wrapText="1"/>
      <protection hidden="1"/>
    </xf>
    <xf numFmtId="164" fontId="10" fillId="2" borderId="6" xfId="2" applyNumberFormat="1" applyFill="1" applyBorder="1" applyAlignment="1" applyProtection="1">
      <alignment vertical="center" wrapText="1"/>
      <protection hidden="1"/>
    </xf>
    <xf numFmtId="164" fontId="10" fillId="2" borderId="5" xfId="2" applyNumberForma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2" borderId="0" xfId="4" applyFont="1" applyFill="1" applyProtection="1">
      <protection hidden="1"/>
    </xf>
    <xf numFmtId="0" fontId="9" fillId="2" borderId="0" xfId="2" applyFont="1" applyFill="1" applyBorder="1" applyAlignment="1" applyProtection="1">
      <alignment vertical="center"/>
      <protection hidden="1"/>
    </xf>
    <xf numFmtId="9" fontId="13" fillId="2" borderId="0" xfId="1" applyFont="1" applyFill="1" applyBorder="1" applyProtection="1">
      <protection hidden="1"/>
    </xf>
    <xf numFmtId="0" fontId="1" fillId="2" borderId="0" xfId="4" applyFill="1" applyAlignment="1" applyProtection="1">
      <alignment horizontal="left" indent="1"/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14" fillId="2" borderId="0" xfId="4" applyFont="1" applyFill="1" applyAlignment="1" applyProtection="1">
      <alignment horizontal="left" indent="1"/>
      <protection hidden="1"/>
    </xf>
    <xf numFmtId="0" fontId="15" fillId="2" borderId="0" xfId="4" applyFont="1" applyFill="1" applyProtection="1">
      <protection hidden="1"/>
    </xf>
    <xf numFmtId="3" fontId="0" fillId="2" borderId="0" xfId="0" applyNumberFormat="1" applyFill="1" applyAlignment="1" applyProtection="1">
      <alignment horizontal="left" indent="1"/>
      <protection hidden="1"/>
    </xf>
    <xf numFmtId="164" fontId="14" fillId="4" borderId="7" xfId="3" applyNumberFormat="1" applyFont="1" applyFill="1" applyBorder="1" applyAlignment="1" applyProtection="1">
      <alignment horizontal="right"/>
      <protection locked="0"/>
    </xf>
    <xf numFmtId="164" fontId="14" fillId="4" borderId="9" xfId="3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hidden="1"/>
    </xf>
    <xf numFmtId="0" fontId="17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vertical="top"/>
      <protection hidden="1"/>
    </xf>
    <xf numFmtId="0" fontId="19" fillId="2" borderId="0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9" fontId="2" fillId="5" borderId="3" xfId="1" applyFont="1" applyFill="1" applyBorder="1" applyProtection="1">
      <protection hidden="1"/>
    </xf>
    <xf numFmtId="3" fontId="2" fillId="5" borderId="3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Protection="1">
      <protection hidden="1"/>
    </xf>
    <xf numFmtId="9" fontId="1" fillId="5" borderId="0" xfId="1" applyFont="1" applyFill="1" applyBorder="1" applyProtection="1">
      <protection hidden="1"/>
    </xf>
    <xf numFmtId="3" fontId="0" fillId="5" borderId="0" xfId="0" applyNumberFormat="1" applyFill="1" applyBorder="1" applyAlignment="1" applyProtection="1">
      <alignment horizontal="right"/>
      <protection hidden="1"/>
    </xf>
    <xf numFmtId="3" fontId="0" fillId="5" borderId="0" xfId="0" applyNumberFormat="1" applyFill="1" applyBorder="1" applyProtection="1">
      <protection hidden="1"/>
    </xf>
    <xf numFmtId="0" fontId="2" fillId="6" borderId="4" xfId="0" applyFont="1" applyFill="1" applyBorder="1" applyProtection="1">
      <protection hidden="1"/>
    </xf>
    <xf numFmtId="0" fontId="2" fillId="6" borderId="3" xfId="0" applyFont="1" applyFill="1" applyBorder="1" applyProtection="1">
      <protection hidden="1"/>
    </xf>
    <xf numFmtId="9" fontId="2" fillId="6" borderId="3" xfId="1" applyFont="1" applyFill="1" applyBorder="1" applyProtection="1">
      <protection hidden="1"/>
    </xf>
    <xf numFmtId="3" fontId="2" fillId="6" borderId="3" xfId="0" applyNumberFormat="1" applyFont="1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0" fillId="6" borderId="0" xfId="0" applyFill="1" applyBorder="1" applyProtection="1">
      <protection hidden="1"/>
    </xf>
    <xf numFmtId="9" fontId="1" fillId="6" borderId="0" xfId="1" applyFont="1" applyFill="1" applyBorder="1" applyProtection="1">
      <protection hidden="1"/>
    </xf>
    <xf numFmtId="3" fontId="0" fillId="6" borderId="0" xfId="0" applyNumberFormat="1" applyFill="1" applyBorder="1" applyProtection="1"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165" fontId="13" fillId="7" borderId="0" xfId="1" applyNumberFormat="1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164" fontId="14" fillId="4" borderId="11" xfId="3" applyNumberFormat="1" applyFont="1" applyFill="1" applyBorder="1" applyAlignment="1" applyProtection="1">
      <alignment horizontal="left"/>
      <protection locked="0"/>
    </xf>
    <xf numFmtId="164" fontId="14" fillId="4" borderId="12" xfId="3" applyNumberFormat="1" applyFont="1" applyFill="1" applyBorder="1" applyAlignment="1" applyProtection="1">
      <alignment horizontal="left"/>
      <protection locked="0"/>
    </xf>
    <xf numFmtId="164" fontId="14" fillId="0" borderId="11" xfId="3" applyNumberFormat="1" applyFont="1" applyFill="1" applyBorder="1" applyAlignment="1" applyProtection="1">
      <alignment horizontal="left"/>
      <protection locked="0"/>
    </xf>
    <xf numFmtId="164" fontId="14" fillId="0" borderId="12" xfId="3" applyNumberFormat="1" applyFont="1" applyFill="1" applyBorder="1" applyAlignment="1" applyProtection="1">
      <alignment horizontal="left"/>
      <protection locked="0"/>
    </xf>
    <xf numFmtId="0" fontId="14" fillId="0" borderId="0" xfId="4" applyFont="1" applyFill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Protection="1">
      <protection hidden="1"/>
    </xf>
    <xf numFmtId="2" fontId="0" fillId="2" borderId="0" xfId="0" applyNumberFormat="1" applyFill="1" applyBorder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2" fontId="13" fillId="2" borderId="0" xfId="0" applyNumberFormat="1" applyFont="1" applyFill="1" applyBorder="1" applyAlignment="1" applyProtection="1">
      <alignment vertical="center"/>
      <protection hidden="1"/>
    </xf>
    <xf numFmtId="2" fontId="13" fillId="2" borderId="0" xfId="0" applyNumberFormat="1" applyFont="1" applyFill="1" applyBorder="1" applyProtection="1">
      <protection hidden="1"/>
    </xf>
    <xf numFmtId="49" fontId="13" fillId="2" borderId="13" xfId="0" applyNumberFormat="1" applyFont="1" applyFill="1" applyBorder="1" applyProtection="1">
      <protection hidden="1"/>
    </xf>
    <xf numFmtId="2" fontId="13" fillId="2" borderId="14" xfId="0" applyNumberFormat="1" applyFont="1" applyFill="1" applyBorder="1" applyProtection="1">
      <protection hidden="1"/>
    </xf>
    <xf numFmtId="0" fontId="13" fillId="2" borderId="14" xfId="0" applyFont="1" applyFill="1" applyBorder="1" applyProtection="1">
      <protection hidden="1"/>
    </xf>
    <xf numFmtId="0" fontId="13" fillId="2" borderId="15" xfId="0" applyFont="1" applyFill="1" applyBorder="1" applyProtection="1">
      <protection hidden="1"/>
    </xf>
    <xf numFmtId="49" fontId="13" fillId="2" borderId="16" xfId="0" applyNumberFormat="1" applyFont="1" applyFill="1" applyBorder="1" applyProtection="1">
      <protection hidden="1"/>
    </xf>
    <xf numFmtId="0" fontId="13" fillId="2" borderId="17" xfId="0" applyFont="1" applyFill="1" applyBorder="1" applyProtection="1">
      <protection hidden="1"/>
    </xf>
    <xf numFmtId="49" fontId="13" fillId="2" borderId="18" xfId="0" applyNumberFormat="1" applyFont="1" applyFill="1" applyBorder="1" applyProtection="1">
      <protection hidden="1"/>
    </xf>
    <xf numFmtId="2" fontId="13" fillId="2" borderId="19" xfId="0" applyNumberFormat="1" applyFont="1" applyFill="1" applyBorder="1" applyProtection="1">
      <protection hidden="1"/>
    </xf>
    <xf numFmtId="0" fontId="13" fillId="2" borderId="19" xfId="0" applyFont="1" applyFill="1" applyBorder="1" applyProtection="1">
      <protection hidden="1"/>
    </xf>
    <xf numFmtId="0" fontId="13" fillId="2" borderId="20" xfId="0" applyFont="1" applyFill="1" applyBorder="1" applyProtection="1"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13" fillId="2" borderId="0" xfId="0" applyFont="1" applyFill="1" applyProtection="1">
      <protection hidden="1"/>
    </xf>
    <xf numFmtId="164" fontId="14" fillId="4" borderId="21" xfId="3" applyNumberFormat="1" applyFont="1" applyFill="1" applyBorder="1" applyAlignment="1" applyProtection="1">
      <alignment horizontal="left"/>
      <protection locked="0"/>
    </xf>
    <xf numFmtId="164" fontId="14" fillId="4" borderId="22" xfId="3" applyNumberFormat="1" applyFont="1" applyFill="1" applyBorder="1" applyAlignment="1" applyProtection="1">
      <alignment horizontal="right"/>
      <protection locked="0"/>
    </xf>
    <xf numFmtId="0" fontId="16" fillId="2" borderId="24" xfId="4" applyFont="1" applyFill="1" applyBorder="1" applyProtection="1">
      <protection hidden="1"/>
    </xf>
    <xf numFmtId="3" fontId="16" fillId="2" borderId="24" xfId="4" applyNumberFormat="1" applyFont="1" applyFill="1" applyBorder="1" applyAlignment="1" applyProtection="1">
      <alignment horizontal="left" indent="1"/>
      <protection hidden="1"/>
    </xf>
    <xf numFmtId="0" fontId="14" fillId="2" borderId="24" xfId="4" applyFont="1" applyFill="1" applyBorder="1" applyProtection="1">
      <protection hidden="1"/>
    </xf>
    <xf numFmtId="9" fontId="14" fillId="2" borderId="24" xfId="5" applyFont="1" applyFill="1" applyBorder="1" applyAlignment="1" applyProtection="1">
      <alignment horizontal="left" indent="1"/>
      <protection hidden="1"/>
    </xf>
    <xf numFmtId="9" fontId="14" fillId="8" borderId="24" xfId="5" applyFont="1" applyFill="1" applyBorder="1" applyAlignment="1" applyProtection="1">
      <alignment horizontal="left" indent="1"/>
      <protection hidden="1"/>
    </xf>
    <xf numFmtId="9" fontId="14" fillId="2" borderId="25" xfId="5" applyFont="1" applyFill="1" applyBorder="1" applyAlignment="1" applyProtection="1">
      <alignment horizontal="left" indent="1"/>
      <protection hidden="1"/>
    </xf>
    <xf numFmtId="9" fontId="14" fillId="2" borderId="26" xfId="5" applyFont="1" applyFill="1" applyBorder="1" applyAlignment="1" applyProtection="1">
      <alignment horizontal="left" indent="1"/>
      <protection hidden="1"/>
    </xf>
    <xf numFmtId="3" fontId="14" fillId="8" borderId="24" xfId="5" applyNumberFormat="1" applyFont="1" applyFill="1" applyBorder="1" applyAlignment="1" applyProtection="1">
      <alignment horizontal="left" indent="1"/>
      <protection hidden="1"/>
    </xf>
    <xf numFmtId="3" fontId="14" fillId="9" borderId="8" xfId="3" applyNumberFormat="1" applyFont="1" applyFill="1" applyBorder="1" applyAlignment="1" applyProtection="1">
      <alignment horizontal="right" indent="1"/>
      <protection locked="0"/>
    </xf>
    <xf numFmtId="3" fontId="14" fillId="9" borderId="10" xfId="3" applyNumberFormat="1" applyFont="1" applyFill="1" applyBorder="1" applyAlignment="1" applyProtection="1">
      <alignment horizontal="right" indent="1"/>
      <protection locked="0"/>
    </xf>
    <xf numFmtId="164" fontId="20" fillId="8" borderId="9" xfId="3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Protection="1">
      <protection hidden="1"/>
    </xf>
    <xf numFmtId="0" fontId="26" fillId="2" borderId="0" xfId="0" applyFont="1" applyFill="1" applyProtection="1">
      <protection hidden="1"/>
    </xf>
    <xf numFmtId="0" fontId="16" fillId="9" borderId="0" xfId="4" applyFont="1" applyFill="1" applyAlignment="1" applyProtection="1">
      <alignment horizontal="right" indent="1"/>
      <protection locked="0"/>
    </xf>
    <xf numFmtId="3" fontId="14" fillId="9" borderId="23" xfId="3" applyNumberFormat="1" applyFont="1" applyFill="1" applyBorder="1" applyAlignment="1" applyProtection="1">
      <alignment horizontal="right" indent="1"/>
      <protection locked="0"/>
    </xf>
    <xf numFmtId="0" fontId="3" fillId="4" borderId="0" xfId="0" applyFont="1" applyFill="1" applyBorder="1" applyAlignment="1" applyProtection="1">
      <alignment horizontal="right"/>
      <protection hidden="1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164" fontId="9" fillId="3" borderId="6" xfId="2" applyNumberFormat="1" applyFont="1" applyFill="1" applyBorder="1" applyAlignment="1" applyProtection="1">
      <alignment horizontal="left" vertical="center" wrapText="1"/>
      <protection hidden="1"/>
    </xf>
    <xf numFmtId="164" fontId="24" fillId="3" borderId="6" xfId="2" applyNumberFormat="1" applyFont="1" applyFill="1" applyBorder="1" applyAlignment="1" applyProtection="1">
      <alignment horizontal="left" vertical="center" wrapText="1"/>
      <protection hidden="1"/>
    </xf>
    <xf numFmtId="164" fontId="24" fillId="3" borderId="5" xfId="2" applyNumberFormat="1" applyFont="1" applyFill="1" applyBorder="1" applyAlignment="1" applyProtection="1">
      <alignment horizontal="left" vertical="center" wrapText="1"/>
      <protection hidden="1"/>
    </xf>
    <xf numFmtId="164" fontId="24" fillId="3" borderId="0" xfId="2" applyNumberFormat="1" applyFont="1" applyFill="1" applyBorder="1" applyAlignment="1" applyProtection="1">
      <alignment horizontal="left" vertical="center" wrapText="1"/>
      <protection hidden="1"/>
    </xf>
    <xf numFmtId="164" fontId="24" fillId="3" borderId="1" xfId="2" applyNumberFormat="1" applyFont="1" applyFill="1" applyBorder="1" applyAlignment="1" applyProtection="1">
      <alignment horizontal="left" vertical="center" wrapText="1"/>
      <protection hidden="1"/>
    </xf>
    <xf numFmtId="164" fontId="9" fillId="3" borderId="6" xfId="2" applyNumberFormat="1" applyFont="1" applyFill="1" applyBorder="1" applyAlignment="1" applyProtection="1">
      <alignment horizontal="left" vertical="center" wrapText="1" indent="1"/>
      <protection hidden="1"/>
    </xf>
    <xf numFmtId="164" fontId="24" fillId="3" borderId="6" xfId="2" applyNumberFormat="1" applyFont="1" applyFill="1" applyBorder="1" applyAlignment="1" applyProtection="1">
      <alignment horizontal="left" vertical="center" wrapText="1" indent="1"/>
      <protection hidden="1"/>
    </xf>
    <xf numFmtId="164" fontId="24" fillId="3" borderId="5" xfId="2" applyNumberFormat="1" applyFont="1" applyFill="1" applyBorder="1" applyAlignment="1" applyProtection="1">
      <alignment horizontal="left" vertical="center" wrapText="1" indent="1"/>
      <protection hidden="1"/>
    </xf>
    <xf numFmtId="164" fontId="24" fillId="3" borderId="0" xfId="2" applyNumberFormat="1" applyFont="1" applyFill="1" applyBorder="1" applyAlignment="1" applyProtection="1">
      <alignment horizontal="left" vertical="center" wrapText="1" indent="1"/>
      <protection hidden="1"/>
    </xf>
    <xf numFmtId="164" fontId="24" fillId="3" borderId="1" xfId="2" applyNumberFormat="1" applyFont="1" applyFill="1" applyBorder="1" applyAlignment="1" applyProtection="1">
      <alignment horizontal="left" vertical="center" wrapText="1" indent="1"/>
      <protection hidden="1"/>
    </xf>
    <xf numFmtId="164" fontId="9" fillId="3" borderId="5" xfId="2" applyNumberFormat="1" applyFont="1" applyFill="1" applyBorder="1" applyAlignment="1" applyProtection="1">
      <alignment horizontal="left" vertical="center" wrapText="1"/>
      <protection hidden="1"/>
    </xf>
    <xf numFmtId="164" fontId="9" fillId="3" borderId="0" xfId="2" applyNumberFormat="1" applyFont="1" applyFill="1" applyBorder="1" applyAlignment="1" applyProtection="1">
      <alignment horizontal="left" vertical="center" wrapText="1"/>
      <protection hidden="1"/>
    </xf>
    <xf numFmtId="164" fontId="9" fillId="3" borderId="1" xfId="2" applyNumberFormat="1" applyFont="1" applyFill="1" applyBorder="1" applyAlignment="1" applyProtection="1">
      <alignment horizontal="left" vertical="center" wrapText="1"/>
      <protection hidden="1"/>
    </xf>
    <xf numFmtId="164" fontId="10" fillId="3" borderId="6" xfId="2" applyNumberFormat="1" applyFill="1" applyBorder="1" applyAlignment="1" applyProtection="1">
      <alignment horizontal="left" vertical="center" wrapText="1" indent="1"/>
      <protection hidden="1"/>
    </xf>
    <xf numFmtId="164" fontId="10" fillId="3" borderId="5" xfId="2" applyNumberFormat="1" applyFill="1" applyBorder="1" applyAlignment="1" applyProtection="1">
      <alignment horizontal="left" vertical="center" wrapText="1" indent="1"/>
      <protection hidden="1"/>
    </xf>
    <xf numFmtId="164" fontId="10" fillId="3" borderId="0" xfId="2" applyNumberFormat="1" applyFill="1" applyBorder="1" applyAlignment="1" applyProtection="1">
      <alignment horizontal="left" vertical="center" wrapText="1" indent="1"/>
      <protection hidden="1"/>
    </xf>
    <xf numFmtId="164" fontId="10" fillId="3" borderId="1" xfId="2" applyNumberForma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64" fontId="20" fillId="8" borderId="12" xfId="3" applyNumberFormat="1" applyFont="1" applyFill="1" applyBorder="1" applyAlignment="1" applyProtection="1">
      <alignment horizontal="left"/>
      <protection hidden="1"/>
    </xf>
    <xf numFmtId="164" fontId="20" fillId="8" borderId="9" xfId="3" applyNumberFormat="1" applyFont="1" applyFill="1" applyBorder="1" applyAlignment="1" applyProtection="1">
      <alignment horizontal="left"/>
      <protection hidden="1"/>
    </xf>
    <xf numFmtId="0" fontId="15" fillId="2" borderId="0" xfId="4" applyFont="1" applyFill="1" applyAlignment="1" applyProtection="1">
      <alignment horizontal="right"/>
      <protection hidden="1"/>
    </xf>
  </cellXfs>
  <cellStyles count="6">
    <cellStyle name="Komma" xfId="3" builtinId="3"/>
    <cellStyle name="Link" xfId="2" builtinId="8"/>
    <cellStyle name="Prozent" xfId="1" builtinId="5"/>
    <cellStyle name="Prozent 2" xfId="5"/>
    <cellStyle name="Standard" xfId="0" builtinId="0"/>
    <cellStyle name="Standard 2" xfId="4"/>
  </cellStyles>
  <dxfs count="31">
    <dxf>
      <font>
        <b/>
        <i val="0"/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BC22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BC22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BC22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BC22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bgColor theme="0"/>
        </patternFill>
      </fill>
    </dxf>
    <dxf>
      <font>
        <b val="0"/>
        <i val="0"/>
        <color theme="0"/>
      </font>
      <numFmt numFmtId="0" formatCode="General"/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99CC00"/>
      <color rgb="FFFFFF99"/>
      <color rgb="FFFF3300"/>
      <color rgb="FF614F46"/>
      <color rgb="FF643ED9"/>
      <color rgb="FFD94C3D"/>
      <color rgb="FF9BC226"/>
      <color rgb="FFF5F5F5"/>
      <color rgb="FFBFA981"/>
      <color rgb="FF877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ernfelle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lernfelle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5</xdr:col>
      <xdr:colOff>0</xdr:colOff>
      <xdr:row>35</xdr:row>
      <xdr:rowOff>123825</xdr:rowOff>
    </xdr:to>
    <xdr:sp macro="" textlink="">
      <xdr:nvSpPr>
        <xdr:cNvPr id="2" name="Rechteck 1"/>
        <xdr:cNvSpPr/>
      </xdr:nvSpPr>
      <xdr:spPr>
        <a:xfrm>
          <a:off x="228600" y="5715000"/>
          <a:ext cx="359092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123825</xdr:colOff>
      <xdr:row>47</xdr:row>
      <xdr:rowOff>28575</xdr:rowOff>
    </xdr:from>
    <xdr:to>
      <xdr:col>4</xdr:col>
      <xdr:colOff>971550</xdr:colOff>
      <xdr:row>49</xdr:row>
      <xdr:rowOff>152400</xdr:rowOff>
    </xdr:to>
    <xdr:sp macro="" textlink="">
      <xdr:nvSpPr>
        <xdr:cNvPr id="3" name="Rechteck 2"/>
        <xdr:cNvSpPr/>
      </xdr:nvSpPr>
      <xdr:spPr>
        <a:xfrm>
          <a:off x="219075" y="8048625"/>
          <a:ext cx="3590925" cy="447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14</xdr:col>
      <xdr:colOff>657225</xdr:colOff>
      <xdr:row>0</xdr:row>
      <xdr:rowOff>371474</xdr:rowOff>
    </xdr:from>
    <xdr:to>
      <xdr:col>17</xdr:col>
      <xdr:colOff>209550</xdr:colOff>
      <xdr:row>8</xdr:row>
      <xdr:rowOff>39599</xdr:rowOff>
    </xdr:to>
    <xdr:pic>
      <xdr:nvPicPr>
        <xdr:cNvPr id="4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371474"/>
          <a:ext cx="1895475" cy="1877925"/>
        </a:xfrm>
        <a:prstGeom prst="rect">
          <a:avLst/>
        </a:prstGeom>
      </xdr:spPr>
    </xdr:pic>
    <xdr:clientData/>
  </xdr:twoCellAnchor>
  <xdr:twoCellAnchor>
    <xdr:from>
      <xdr:col>17</xdr:col>
      <xdr:colOff>266700</xdr:colOff>
      <xdr:row>2</xdr:row>
      <xdr:rowOff>47625</xdr:rowOff>
    </xdr:from>
    <xdr:to>
      <xdr:col>22</xdr:col>
      <xdr:colOff>781050</xdr:colOff>
      <xdr:row>6</xdr:row>
      <xdr:rowOff>95250</xdr:rowOff>
    </xdr:to>
    <xdr:sp macro="" textlink="">
      <xdr:nvSpPr>
        <xdr:cNvPr id="5" name="Textfeld 4"/>
        <xdr:cNvSpPr txBox="1"/>
      </xdr:nvSpPr>
      <xdr:spPr>
        <a:xfrm>
          <a:off x="14658975" y="647700"/>
          <a:ext cx="4752975" cy="1162050"/>
        </a:xfrm>
        <a:prstGeom prst="rect">
          <a:avLst/>
        </a:prstGeom>
        <a:gradFill flip="none" rotWithShape="1">
          <a:gsLst>
            <a:gs pos="23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ausschließlich zur privaten Nutzung!                 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Dieser Plan ersetzt keine Vorabinformationen zum Thema BARF.                         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Erstellt nach bestem Wissen und Gewissen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Haftung für die Werte und  korrekte Verwendung wird nicht übernommen                    </a:t>
          </a:r>
          <a:r>
            <a:rPr lang="de-DE">
              <a:effectLst/>
            </a:rPr>
            <a:t> 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219075</xdr:rowOff>
    </xdr:from>
    <xdr:to>
      <xdr:col>6</xdr:col>
      <xdr:colOff>695325</xdr:colOff>
      <xdr:row>4</xdr:row>
      <xdr:rowOff>161895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325" y="219075"/>
          <a:ext cx="990600" cy="981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C1:AL51"/>
  <sheetViews>
    <sheetView tabSelected="1" workbookViewId="0">
      <selection activeCell="O2" sqref="O2"/>
    </sheetView>
  </sheetViews>
  <sheetFormatPr baseColWidth="10" defaultRowHeight="12.75"/>
  <cols>
    <col min="1" max="1" width="1.42578125" style="3" customWidth="1"/>
    <col min="2" max="2" width="2" style="3" customWidth="1"/>
    <col min="3" max="3" width="30.7109375" style="3" customWidth="1"/>
    <col min="4" max="4" width="12.7109375" style="3" customWidth="1"/>
    <col min="5" max="5" width="8.7109375" style="6" customWidth="1"/>
    <col min="6" max="7" width="15.7109375" style="3" customWidth="1"/>
    <col min="8" max="8" width="8.7109375" style="3" customWidth="1"/>
    <col min="9" max="9" width="10.7109375" style="3" customWidth="1"/>
    <col min="10" max="10" width="6.42578125" style="3" customWidth="1"/>
    <col min="11" max="11" width="30.7109375" style="3" customWidth="1"/>
    <col min="12" max="12" width="12.7109375" style="3" customWidth="1"/>
    <col min="13" max="13" width="8.7109375" style="3" customWidth="1"/>
    <col min="14" max="15" width="15.7109375" style="3" customWidth="1"/>
    <col min="16" max="16" width="8.7109375" style="3" customWidth="1"/>
    <col min="17" max="17" width="10.7109375" style="3" customWidth="1"/>
    <col min="18" max="18" width="4.42578125" style="3" customWidth="1"/>
    <col min="19" max="19" width="24.85546875" style="3" bestFit="1" customWidth="1"/>
    <col min="20" max="20" width="11.42578125" style="9"/>
    <col min="21" max="22" width="11.42578125" style="3"/>
    <col min="23" max="23" width="12.42578125" style="3" customWidth="1"/>
    <col min="24" max="16384" width="11.42578125" style="3"/>
  </cols>
  <sheetData>
    <row r="1" spans="3:38" ht="34.5" customHeight="1">
      <c r="C1" s="52" t="s">
        <v>45</v>
      </c>
      <c r="E1" s="3"/>
      <c r="G1" s="34"/>
      <c r="H1" s="5"/>
      <c r="I1" s="34"/>
      <c r="L1" s="4"/>
      <c r="P1" s="2"/>
      <c r="Q1" s="2"/>
      <c r="R1" s="2"/>
      <c r="S1" s="2"/>
    </row>
    <row r="2" spans="3:38">
      <c r="C2" s="78" t="s">
        <v>28</v>
      </c>
      <c r="E2" s="3"/>
      <c r="G2" s="42"/>
      <c r="L2" s="4"/>
      <c r="O2" s="2"/>
      <c r="P2" s="2"/>
      <c r="Q2" s="2"/>
      <c r="R2" s="2"/>
      <c r="S2" s="2"/>
    </row>
    <row r="3" spans="3:38" ht="30" customHeight="1">
      <c r="C3" s="35"/>
      <c r="E3" s="3"/>
      <c r="G3" s="2"/>
      <c r="I3" s="53"/>
      <c r="K3" s="37"/>
      <c r="L3" s="37"/>
      <c r="M3" s="38"/>
      <c r="O3" s="2"/>
      <c r="P3" s="2"/>
      <c r="R3" s="102"/>
      <c r="S3" s="103"/>
      <c r="T3" s="103"/>
      <c r="U3" s="103"/>
      <c r="V3" s="103"/>
      <c r="W3" s="103"/>
    </row>
    <row r="4" spans="3:38" ht="12.75" customHeight="1">
      <c r="C4" s="35"/>
      <c r="E4" s="3"/>
      <c r="G4" s="2"/>
      <c r="I4" s="53"/>
      <c r="K4" s="36"/>
      <c r="L4" s="36"/>
      <c r="M4" s="36"/>
      <c r="O4" s="2"/>
      <c r="P4" s="2"/>
      <c r="Q4" s="102"/>
      <c r="R4" s="102"/>
      <c r="S4" s="103"/>
      <c r="T4" s="103"/>
      <c r="U4" s="103"/>
      <c r="V4" s="103"/>
      <c r="W4" s="103"/>
    </row>
    <row r="5" spans="3:38" ht="20.100000000000001" customHeight="1">
      <c r="C5" s="77" t="s">
        <v>33</v>
      </c>
      <c r="D5" s="76">
        <v>3</v>
      </c>
      <c r="E5" s="3"/>
      <c r="G5" s="2"/>
      <c r="I5" s="53"/>
      <c r="J5" s="53"/>
      <c r="K5" s="53"/>
      <c r="M5" s="2"/>
      <c r="Q5" s="102"/>
      <c r="R5" s="102"/>
      <c r="S5" s="103"/>
      <c r="T5" s="103"/>
      <c r="U5" s="103"/>
      <c r="V5" s="103"/>
      <c r="W5" s="103"/>
    </row>
    <row r="6" spans="3:38" s="2" customFormat="1" ht="25.5" customHeight="1">
      <c r="C6" s="142" t="s">
        <v>50</v>
      </c>
      <c r="D6" s="142"/>
      <c r="E6" s="141" t="s">
        <v>53</v>
      </c>
      <c r="F6" s="141"/>
      <c r="G6" s="141" t="s">
        <v>52</v>
      </c>
      <c r="H6" s="141"/>
      <c r="I6" s="85"/>
      <c r="J6" s="85" t="s">
        <v>51</v>
      </c>
      <c r="K6" s="73"/>
      <c r="L6" s="85" t="s">
        <v>54</v>
      </c>
      <c r="N6" s="85" t="s">
        <v>57</v>
      </c>
      <c r="O6" s="89" t="s">
        <v>64</v>
      </c>
      <c r="Q6" s="102"/>
      <c r="R6" s="102"/>
      <c r="S6" s="103"/>
      <c r="T6" s="103"/>
      <c r="U6" s="103"/>
      <c r="V6" s="103"/>
      <c r="W6" s="103"/>
    </row>
    <row r="7" spans="3:38" ht="20.100000000000001" customHeight="1">
      <c r="C7" s="123" t="s">
        <v>65</v>
      </c>
      <c r="D7" s="123"/>
      <c r="E7" s="73"/>
      <c r="F7" s="74">
        <v>20</v>
      </c>
      <c r="G7" s="73"/>
      <c r="H7" s="75">
        <v>0.02</v>
      </c>
      <c r="I7" s="73"/>
      <c r="J7" s="74">
        <v>0</v>
      </c>
      <c r="K7" s="10" t="s">
        <v>27</v>
      </c>
      <c r="L7" s="86" t="s">
        <v>56</v>
      </c>
      <c r="N7" s="86" t="s">
        <v>58</v>
      </c>
      <c r="O7" s="90">
        <f>VLOOKUP(N7,$AH$7:$AI$13,2)*IF(L7="ja",0.8,1)</f>
        <v>1</v>
      </c>
      <c r="Q7" s="102"/>
      <c r="R7" s="102"/>
      <c r="S7" s="103"/>
      <c r="T7" s="103"/>
      <c r="U7" s="103"/>
      <c r="V7" s="103"/>
      <c r="W7" s="103"/>
      <c r="AH7" s="92" t="s">
        <v>58</v>
      </c>
      <c r="AI7" s="93">
        <v>1</v>
      </c>
      <c r="AJ7" s="94">
        <v>1</v>
      </c>
      <c r="AK7" s="94" t="s">
        <v>26</v>
      </c>
      <c r="AL7" s="95"/>
    </row>
    <row r="8" spans="3:38" ht="20.100000000000001" customHeight="1">
      <c r="C8" s="123" t="s">
        <v>66</v>
      </c>
      <c r="D8" s="123"/>
      <c r="E8" s="73"/>
      <c r="F8" s="74">
        <v>30</v>
      </c>
      <c r="G8" s="73"/>
      <c r="H8" s="75">
        <v>2.5000000000000001E-2</v>
      </c>
      <c r="I8" s="73"/>
      <c r="J8" s="74">
        <v>0</v>
      </c>
      <c r="K8" s="10" t="s">
        <v>27</v>
      </c>
      <c r="L8" s="86" t="s">
        <v>56</v>
      </c>
      <c r="N8" s="86" t="s">
        <v>60</v>
      </c>
      <c r="O8" s="90">
        <f t="shared" ref="O8:O9" si="0">VLOOKUP(N8,$AH$7:$AI$13,2)*IF(L8="ja",0.8,1)</f>
        <v>1.5</v>
      </c>
      <c r="Q8" s="102"/>
      <c r="R8" s="102"/>
      <c r="S8" s="103"/>
      <c r="T8" s="103"/>
      <c r="U8" s="103"/>
      <c r="V8" s="103"/>
      <c r="W8" s="103"/>
      <c r="AH8" s="96" t="s">
        <v>59</v>
      </c>
      <c r="AI8" s="91">
        <v>1.25</v>
      </c>
      <c r="AJ8" s="39">
        <v>2</v>
      </c>
      <c r="AK8" s="39" t="s">
        <v>25</v>
      </c>
      <c r="AL8" s="97"/>
    </row>
    <row r="9" spans="3:38" ht="20.100000000000001" customHeight="1">
      <c r="C9" s="123" t="s">
        <v>67</v>
      </c>
      <c r="D9" s="123"/>
      <c r="E9" s="73"/>
      <c r="F9" s="74">
        <v>40</v>
      </c>
      <c r="G9" s="73"/>
      <c r="H9" s="75">
        <v>0.03</v>
      </c>
      <c r="I9" s="73"/>
      <c r="J9" s="74">
        <v>0</v>
      </c>
      <c r="K9" s="10" t="s">
        <v>27</v>
      </c>
      <c r="L9" s="86" t="s">
        <v>56</v>
      </c>
      <c r="N9" s="86" t="s">
        <v>58</v>
      </c>
      <c r="O9" s="90">
        <f t="shared" si="0"/>
        <v>1</v>
      </c>
      <c r="R9" s="9"/>
      <c r="T9" s="3"/>
      <c r="AH9" s="96" t="s">
        <v>60</v>
      </c>
      <c r="AI9" s="91">
        <v>1.5</v>
      </c>
      <c r="AJ9" s="39">
        <v>3</v>
      </c>
      <c r="AK9" s="39"/>
      <c r="AL9" s="97"/>
    </row>
    <row r="10" spans="3:38">
      <c r="AH10" s="96" t="s">
        <v>61</v>
      </c>
      <c r="AI10" s="91">
        <v>1.75</v>
      </c>
      <c r="AJ10" s="39"/>
      <c r="AK10" s="39"/>
      <c r="AL10" s="97"/>
    </row>
    <row r="11" spans="3:38">
      <c r="C11" s="31"/>
      <c r="D11" s="14"/>
      <c r="E11" s="14"/>
      <c r="K11" s="11"/>
      <c r="L11" s="12"/>
      <c r="S11" s="56" t="str">
        <f>"Womit wäre der Calciumbedarf von "&amp;C7&amp;" an Stelle von RFK noch gedeckt?"</f>
        <v>Womit wäre der Calciumbedarf von Hund 1 an Stelle von RFK noch gedeckt?</v>
      </c>
      <c r="T11" s="21"/>
      <c r="U11" s="22"/>
      <c r="V11" s="22"/>
      <c r="W11" s="22"/>
      <c r="AH11" s="96" t="s">
        <v>62</v>
      </c>
      <c r="AI11" s="91">
        <v>2</v>
      </c>
      <c r="AJ11" s="39"/>
      <c r="AK11" s="39" t="s">
        <v>55</v>
      </c>
      <c r="AL11" s="97"/>
    </row>
    <row r="12" spans="3:38">
      <c r="C12" s="31"/>
      <c r="D12" s="32"/>
      <c r="E12" s="14"/>
      <c r="K12" s="13"/>
      <c r="L12" s="15"/>
      <c r="S12" s="23" t="s">
        <v>4</v>
      </c>
      <c r="T12" s="24">
        <f>(2.4*L15)*7/(7-$J$7)</f>
        <v>960</v>
      </c>
      <c r="U12" s="22"/>
      <c r="V12" s="22"/>
      <c r="W12" s="22"/>
      <c r="AH12" s="98" t="s">
        <v>63</v>
      </c>
      <c r="AI12" s="99">
        <v>2.5</v>
      </c>
      <c r="AJ12" s="100"/>
      <c r="AK12" s="100" t="s">
        <v>56</v>
      </c>
      <c r="AL12" s="101"/>
    </row>
    <row r="13" spans="3:38" ht="15.75">
      <c r="C13" s="54" t="str">
        <f>C7&amp;"s Wochenbedarf"</f>
        <v>Hund 1s Wochenbedarf</v>
      </c>
      <c r="D13" s="33"/>
      <c r="E13" s="14"/>
      <c r="K13" s="55" t="str">
        <f>C7&amp;"s Tagesbedarf (gerundet)"</f>
        <v>Hund 1s Tagesbedarf (gerundet)</v>
      </c>
      <c r="L13" s="16"/>
      <c r="S13" s="25" t="s">
        <v>39</v>
      </c>
      <c r="T13" s="22"/>
      <c r="U13" s="22"/>
      <c r="V13" s="22"/>
      <c r="W13" s="22"/>
      <c r="AH13" s="87"/>
      <c r="AI13" s="88"/>
    </row>
    <row r="14" spans="3:38">
      <c r="F14" s="39"/>
      <c r="G14" s="39"/>
      <c r="S14" s="22" t="s">
        <v>34</v>
      </c>
      <c r="T14" s="26" t="str">
        <f>ROUND(T12/(1000*0.2108),1)&amp;" g"</f>
        <v>4,6 g</v>
      </c>
      <c r="U14" s="22"/>
      <c r="V14" s="22"/>
      <c r="W14" s="22"/>
      <c r="AI14" s="87"/>
    </row>
    <row r="15" spans="3:38">
      <c r="C15" s="4" t="s">
        <v>40</v>
      </c>
      <c r="D15" s="17">
        <f>MROUND(F7*H7*7*1000,G15)*O7</f>
        <v>2800</v>
      </c>
      <c r="F15" s="40" t="s">
        <v>47</v>
      </c>
      <c r="G15" s="39">
        <f>IF(F7&gt;3,5,1)</f>
        <v>5</v>
      </c>
      <c r="K15" s="4" t="s">
        <v>41</v>
      </c>
      <c r="L15" s="17">
        <f>MROUND(IF($C$7="","-",D15/(7-$J$7)),G15)</f>
        <v>400</v>
      </c>
      <c r="S15" s="22" t="s">
        <v>35</v>
      </c>
      <c r="T15" s="26" t="str">
        <f>ROUND(T12/(1000*0.36),1)&amp;" g"</f>
        <v>2,7 g</v>
      </c>
      <c r="U15" s="22"/>
      <c r="V15" s="22"/>
      <c r="W15" s="22"/>
      <c r="AI15" s="87"/>
    </row>
    <row r="16" spans="3:38">
      <c r="S16" s="22" t="s">
        <v>36</v>
      </c>
      <c r="T16" s="26" t="str">
        <f>ROUND(T12/(1000*0.388),  1)&amp;" g"</f>
        <v>2,5 g</v>
      </c>
      <c r="U16" s="22"/>
      <c r="V16" s="22"/>
      <c r="W16" s="22"/>
    </row>
    <row r="17" spans="3:23" s="7" customFormat="1">
      <c r="C17" s="57" t="s">
        <v>30</v>
      </c>
      <c r="D17" s="58">
        <v>0.2</v>
      </c>
      <c r="E17" s="59">
        <f>MROUND(D17*D15,G15)</f>
        <v>560</v>
      </c>
      <c r="F17" s="64" t="s">
        <v>29</v>
      </c>
      <c r="G17" s="65"/>
      <c r="H17" s="66">
        <v>0.8</v>
      </c>
      <c r="I17" s="67">
        <f>MROUND(H17*D15,5)</f>
        <v>2240</v>
      </c>
      <c r="K17" s="57" t="s">
        <v>30</v>
      </c>
      <c r="L17" s="58">
        <v>0.2</v>
      </c>
      <c r="M17" s="59">
        <f>IF(F7&lt;3,L17*L15,MROUND(L17*L15,G15))</f>
        <v>80</v>
      </c>
      <c r="N17" s="64" t="s">
        <v>29</v>
      </c>
      <c r="O17" s="65"/>
      <c r="P17" s="66">
        <v>0.8</v>
      </c>
      <c r="Q17" s="67">
        <f>IF(F7&lt;3,P17*L15,MROUND(P17*L15,G15))</f>
        <v>320</v>
      </c>
      <c r="S17" s="22" t="s">
        <v>46</v>
      </c>
      <c r="T17" s="26" t="str">
        <f>ROUND(T12/(1000*0.25),1)&amp;" g"</f>
        <v>3,8 g</v>
      </c>
      <c r="U17" s="22"/>
      <c r="V17" s="22"/>
      <c r="W17" s="22"/>
    </row>
    <row r="18" spans="3:23">
      <c r="C18" s="60" t="s">
        <v>0</v>
      </c>
      <c r="D18" s="61">
        <v>0.75</v>
      </c>
      <c r="E18" s="62">
        <f>MROUND(E17*D18,G15)</f>
        <v>420</v>
      </c>
      <c r="F18" s="68" t="s">
        <v>31</v>
      </c>
      <c r="G18" s="69"/>
      <c r="H18" s="70">
        <v>0.5</v>
      </c>
      <c r="I18" s="71">
        <f>MROUND(I17*H18,G15)</f>
        <v>1120</v>
      </c>
      <c r="K18" s="60" t="s">
        <v>0</v>
      </c>
      <c r="L18" s="61">
        <v>0.75</v>
      </c>
      <c r="M18" s="63">
        <f>MROUND(M17*L18,G15)</f>
        <v>60</v>
      </c>
      <c r="N18" s="68" t="s">
        <v>31</v>
      </c>
      <c r="O18" s="69"/>
      <c r="P18" s="70">
        <v>0.5</v>
      </c>
      <c r="Q18" s="71">
        <f>MROUND(Q17*P18,G15)</f>
        <v>160</v>
      </c>
      <c r="R18" s="43">
        <f>Q18/$L$15</f>
        <v>0.4</v>
      </c>
      <c r="S18" s="22" t="s">
        <v>24</v>
      </c>
      <c r="T18" s="27" t="str">
        <f>MROUND(T12/1000*100,G15)&amp;" g"</f>
        <v>95 g</v>
      </c>
      <c r="U18" s="28"/>
      <c r="V18" s="22"/>
      <c r="W18" s="22"/>
    </row>
    <row r="19" spans="3:23">
      <c r="C19" s="60" t="s">
        <v>1</v>
      </c>
      <c r="D19" s="61">
        <v>0.25</v>
      </c>
      <c r="E19" s="62">
        <f>E17-E18</f>
        <v>140</v>
      </c>
      <c r="F19" s="68" t="s">
        <v>43</v>
      </c>
      <c r="G19" s="69"/>
      <c r="H19" s="70">
        <v>0.2</v>
      </c>
      <c r="I19" s="71">
        <f>I17-I18-I20-I22</f>
        <v>450</v>
      </c>
      <c r="K19" s="60" t="s">
        <v>1</v>
      </c>
      <c r="L19" s="61">
        <v>0.25</v>
      </c>
      <c r="M19" s="63">
        <f>M17-M18</f>
        <v>20</v>
      </c>
      <c r="N19" s="68" t="s">
        <v>43</v>
      </c>
      <c r="O19" s="69"/>
      <c r="P19" s="70">
        <v>0.2</v>
      </c>
      <c r="Q19" s="71">
        <f>Q17-Q18-Q20-Q22</f>
        <v>60</v>
      </c>
      <c r="R19" s="43">
        <f>Q19/$L$15</f>
        <v>0.15</v>
      </c>
      <c r="S19" s="29" t="s">
        <v>37</v>
      </c>
      <c r="T19" s="30" t="str">
        <f>MROUND(T12/1000*100,G15)&amp;" g"</f>
        <v>95 g</v>
      </c>
      <c r="U19" s="22"/>
      <c r="V19" s="22"/>
      <c r="W19" s="22"/>
    </row>
    <row r="20" spans="3:23" ht="12.75" customHeight="1">
      <c r="C20" s="124"/>
      <c r="D20" s="124"/>
      <c r="E20" s="134"/>
      <c r="F20" s="68" t="s">
        <v>2</v>
      </c>
      <c r="G20" s="69"/>
      <c r="H20" s="70">
        <v>0.15</v>
      </c>
      <c r="I20" s="71">
        <f>MROUND(I17*H20,G15)</f>
        <v>335</v>
      </c>
      <c r="K20" s="124"/>
      <c r="L20" s="125"/>
      <c r="M20" s="126"/>
      <c r="N20" s="68" t="s">
        <v>2</v>
      </c>
      <c r="O20" s="69"/>
      <c r="P20" s="70">
        <v>0.15</v>
      </c>
      <c r="Q20" s="71">
        <f>MROUND(Q17*P20,G15)</f>
        <v>50</v>
      </c>
      <c r="R20" s="43">
        <f>Q20/$L$15</f>
        <v>0.125</v>
      </c>
      <c r="S20" s="22" t="s">
        <v>21</v>
      </c>
      <c r="T20" s="30" t="str">
        <f>MROUND(T12/1500 * 100,G15)&amp;" g"</f>
        <v>65 g</v>
      </c>
      <c r="U20" s="22"/>
      <c r="V20" s="22"/>
      <c r="W20" s="22"/>
    </row>
    <row r="21" spans="3:23" ht="12.75" customHeight="1">
      <c r="C21" s="135"/>
      <c r="D21" s="135"/>
      <c r="E21" s="136"/>
      <c r="F21" s="68" t="s">
        <v>44</v>
      </c>
      <c r="G21" s="72" t="str">
        <f>MROUND((I17*0.05),G15)&amp;" g)"</f>
        <v>110 g)</v>
      </c>
      <c r="H21" s="70"/>
      <c r="I21" s="71"/>
      <c r="K21" s="127"/>
      <c r="L21" s="127"/>
      <c r="M21" s="128"/>
      <c r="N21" s="68" t="s">
        <v>44</v>
      </c>
      <c r="O21" s="72" t="str">
        <f>ROUND((Q17*0.05),0)&amp;" g)"</f>
        <v>16 g)</v>
      </c>
      <c r="P21" s="70"/>
      <c r="Q21" s="71"/>
      <c r="R21" s="43">
        <f>Q21/$L$15</f>
        <v>0</v>
      </c>
      <c r="S21" s="22" t="s">
        <v>38</v>
      </c>
      <c r="T21" s="30" t="str">
        <f>MROUND(T12/1900* 100,G15)&amp;" g"</f>
        <v>50 g</v>
      </c>
      <c r="U21" s="22"/>
      <c r="V21" s="22"/>
      <c r="W21" s="22"/>
    </row>
    <row r="22" spans="3:23">
      <c r="C22" s="135"/>
      <c r="D22" s="135"/>
      <c r="E22" s="136"/>
      <c r="F22" s="68" t="s">
        <v>3</v>
      </c>
      <c r="G22" s="69"/>
      <c r="H22" s="70">
        <v>0.15</v>
      </c>
      <c r="I22" s="71">
        <f>MROUND(H22*I17,G15)</f>
        <v>335</v>
      </c>
      <c r="K22" s="127"/>
      <c r="L22" s="127"/>
      <c r="M22" s="128"/>
      <c r="N22" s="68" t="s">
        <v>3</v>
      </c>
      <c r="O22" s="69"/>
      <c r="P22" s="70">
        <v>0.15</v>
      </c>
      <c r="Q22" s="71">
        <f>MROUND(P22*Q17,G15)</f>
        <v>50</v>
      </c>
      <c r="R22" s="43">
        <f>Q22/$L$15</f>
        <v>0.125</v>
      </c>
      <c r="S22" s="22" t="s">
        <v>8</v>
      </c>
      <c r="T22" s="30" t="str">
        <f>MROUND(T12/2900*100,G15)&amp;" g"</f>
        <v>35 g</v>
      </c>
      <c r="U22" s="22"/>
      <c r="V22" s="122" t="s">
        <v>42</v>
      </c>
      <c r="W22" s="122"/>
    </row>
    <row r="23" spans="3:23">
      <c r="C23" s="36"/>
      <c r="D23" s="36"/>
      <c r="E23" s="36"/>
      <c r="R23" s="39"/>
    </row>
    <row r="25" spans="3:23">
      <c r="C25" s="18"/>
      <c r="D25" s="51"/>
      <c r="K25" s="18"/>
      <c r="L25" s="51"/>
      <c r="M25" s="20"/>
      <c r="S25" s="56" t="str">
        <f>"Womit wäre der Calciumbedarf von "&amp;C8&amp;" an Stelle von RFK noch gedeckt?"</f>
        <v>Womit wäre der Calciumbedarf von Hund 2 an Stelle von RFK noch gedeckt?</v>
      </c>
      <c r="T25" s="21"/>
      <c r="U25" s="22"/>
      <c r="V25" s="22"/>
      <c r="W25" s="22"/>
    </row>
    <row r="26" spans="3:23">
      <c r="C26" s="18"/>
      <c r="D26" s="51"/>
      <c r="K26" s="18"/>
      <c r="L26" s="51"/>
      <c r="M26" s="20"/>
      <c r="S26" s="23" t="s">
        <v>4</v>
      </c>
      <c r="T26" s="22">
        <f>(2.4*L29)*7/(7-$J$8)</f>
        <v>2700</v>
      </c>
      <c r="U26" s="22"/>
      <c r="V26" s="22"/>
      <c r="W26" s="22"/>
    </row>
    <row r="27" spans="3:23" ht="15.75">
      <c r="C27" s="54" t="str">
        <f>C8&amp;"s Wochenbedarf"</f>
        <v>Hund 2s Wochenbedarf</v>
      </c>
      <c r="D27" s="19"/>
      <c r="K27" s="54" t="str">
        <f>C8&amp;"s Tagesbedarf (gerundet)"</f>
        <v>Hund 2s Tagesbedarf (gerundet)</v>
      </c>
      <c r="L27" s="19"/>
      <c r="M27" s="20"/>
      <c r="S27" s="25" t="s">
        <v>39</v>
      </c>
      <c r="T27" s="22"/>
      <c r="U27" s="22"/>
      <c r="V27" s="22"/>
      <c r="W27" s="22"/>
    </row>
    <row r="28" spans="3:23" ht="12.75" customHeight="1">
      <c r="S28" s="22" t="s">
        <v>34</v>
      </c>
      <c r="T28" s="26" t="str">
        <f>ROUND(T26/(1000*0.2108),1)&amp;" g"</f>
        <v>12,8 g</v>
      </c>
      <c r="U28" s="22"/>
      <c r="V28" s="22"/>
      <c r="W28" s="22"/>
    </row>
    <row r="29" spans="3:23">
      <c r="C29" s="4" t="s">
        <v>40</v>
      </c>
      <c r="D29" s="17">
        <f>MROUND(F8*H8*7*1000,G29)*O8</f>
        <v>7875</v>
      </c>
      <c r="F29" s="40" t="s">
        <v>47</v>
      </c>
      <c r="G29" s="39">
        <f>IF(F8&gt;3,5,1)</f>
        <v>5</v>
      </c>
      <c r="K29" s="4" t="s">
        <v>41</v>
      </c>
      <c r="L29" s="17">
        <f>MROUND(IF($C$8="","-",D29/(7-$J$8)),G29)</f>
        <v>1125</v>
      </c>
      <c r="S29" s="22" t="s">
        <v>35</v>
      </c>
      <c r="T29" s="26" t="str">
        <f>ROUND(T26/(1000*0.36),1)&amp;" g"</f>
        <v>7,5 g</v>
      </c>
      <c r="U29" s="22"/>
      <c r="V29" s="22"/>
      <c r="W29" s="22"/>
    </row>
    <row r="30" spans="3:23">
      <c r="J30" s="7"/>
      <c r="S30" s="22" t="s">
        <v>36</v>
      </c>
      <c r="T30" s="26" t="str">
        <f>ROUND(T26/(1000*0.388),  1)&amp;" g"</f>
        <v>7 g</v>
      </c>
      <c r="U30" s="22"/>
      <c r="V30" s="22"/>
      <c r="W30" s="22"/>
    </row>
    <row r="31" spans="3:23" s="7" customFormat="1">
      <c r="C31" s="57" t="s">
        <v>30</v>
      </c>
      <c r="D31" s="58">
        <v>0.2</v>
      </c>
      <c r="E31" s="59">
        <f>MROUND(D31*D29,G29)</f>
        <v>1575</v>
      </c>
      <c r="F31" s="64" t="s">
        <v>29</v>
      </c>
      <c r="G31" s="65"/>
      <c r="H31" s="66">
        <v>0.8</v>
      </c>
      <c r="I31" s="67">
        <f>MROUND(H31*D29,G29)</f>
        <v>6300</v>
      </c>
      <c r="J31" s="3"/>
      <c r="K31" s="57" t="s">
        <v>30</v>
      </c>
      <c r="L31" s="58">
        <v>0.2</v>
      </c>
      <c r="M31" s="59">
        <f>IF(F8&lt;3,L31*L29,MROUND(L31*L29,G29))</f>
        <v>225</v>
      </c>
      <c r="N31" s="64" t="s">
        <v>29</v>
      </c>
      <c r="O31" s="65"/>
      <c r="P31" s="66">
        <v>0.8</v>
      </c>
      <c r="Q31" s="67">
        <f>IF(F8&lt;3,P31*L29,MROUND(P31*L29,G29))</f>
        <v>900</v>
      </c>
      <c r="S31" s="22" t="s">
        <v>46</v>
      </c>
      <c r="T31" s="26" t="str">
        <f>ROUND(T26/(1000*0.25),1)&amp;" g"</f>
        <v>10,8 g</v>
      </c>
      <c r="U31" s="22"/>
      <c r="V31" s="22"/>
      <c r="W31" s="22"/>
    </row>
    <row r="32" spans="3:23">
      <c r="C32" s="60" t="s">
        <v>0</v>
      </c>
      <c r="D32" s="61">
        <v>0.75</v>
      </c>
      <c r="E32" s="62">
        <f>MROUND(E31*D32,G29)</f>
        <v>1180</v>
      </c>
      <c r="F32" s="68" t="s">
        <v>31</v>
      </c>
      <c r="G32" s="69"/>
      <c r="H32" s="70">
        <v>0.5</v>
      </c>
      <c r="I32" s="71">
        <f>MROUND(I31*H32,G29)</f>
        <v>3150</v>
      </c>
      <c r="K32" s="60" t="s">
        <v>0</v>
      </c>
      <c r="L32" s="61">
        <v>0.75</v>
      </c>
      <c r="M32" s="63">
        <f>MROUND(M31*L32,G29)</f>
        <v>170</v>
      </c>
      <c r="N32" s="68" t="s">
        <v>31</v>
      </c>
      <c r="O32" s="69"/>
      <c r="P32" s="70">
        <v>0.5</v>
      </c>
      <c r="Q32" s="71">
        <f>MROUND(Q31*P32,G29)</f>
        <v>450</v>
      </c>
      <c r="S32" s="22" t="s">
        <v>24</v>
      </c>
      <c r="T32" s="27" t="str">
        <f>MROUND(T26/1000*100,G29)&amp;" g"</f>
        <v>270 g</v>
      </c>
      <c r="U32" s="28"/>
      <c r="V32" s="22"/>
      <c r="W32" s="22"/>
    </row>
    <row r="33" spans="3:23">
      <c r="C33" s="60" t="s">
        <v>1</v>
      </c>
      <c r="D33" s="61">
        <v>0.25</v>
      </c>
      <c r="E33" s="62">
        <f>E31-E32</f>
        <v>395</v>
      </c>
      <c r="F33" s="68" t="s">
        <v>43</v>
      </c>
      <c r="G33" s="69"/>
      <c r="H33" s="70">
        <v>0.2</v>
      </c>
      <c r="I33" s="71">
        <f>I31-I32-I34-I36</f>
        <v>1260</v>
      </c>
      <c r="K33" s="60" t="s">
        <v>1</v>
      </c>
      <c r="L33" s="61">
        <v>0.25</v>
      </c>
      <c r="M33" s="63">
        <f>M31-M32</f>
        <v>55</v>
      </c>
      <c r="N33" s="68" t="s">
        <v>43</v>
      </c>
      <c r="O33" s="69"/>
      <c r="P33" s="70">
        <v>0.2</v>
      </c>
      <c r="Q33" s="71">
        <f>Q31-Q32-Q34-Q36</f>
        <v>180</v>
      </c>
      <c r="S33" s="29" t="s">
        <v>37</v>
      </c>
      <c r="T33" s="30" t="str">
        <f>MROUND(T26/1000*100,G29)&amp;" g"</f>
        <v>270 g</v>
      </c>
      <c r="U33" s="22"/>
      <c r="V33" s="22"/>
      <c r="W33" s="22"/>
    </row>
    <row r="34" spans="3:23">
      <c r="C34" s="129"/>
      <c r="D34" s="130"/>
      <c r="E34" s="131"/>
      <c r="F34" s="68" t="s">
        <v>2</v>
      </c>
      <c r="G34" s="69"/>
      <c r="H34" s="70">
        <v>0.15</v>
      </c>
      <c r="I34" s="71">
        <f>MROUND(I31*H34,G29)</f>
        <v>945</v>
      </c>
      <c r="K34" s="129"/>
      <c r="L34" s="130"/>
      <c r="M34" s="131"/>
      <c r="N34" s="68" t="s">
        <v>2</v>
      </c>
      <c r="O34" s="69"/>
      <c r="P34" s="70">
        <v>0.15</v>
      </c>
      <c r="Q34" s="71">
        <f>MROUND(Q31*P34,G29)</f>
        <v>135</v>
      </c>
      <c r="S34" s="22" t="s">
        <v>21</v>
      </c>
      <c r="T34" s="30" t="str">
        <f>MROUND(T26/1500 * 100,G29)&amp;" g"</f>
        <v>180 g</v>
      </c>
      <c r="U34" s="22"/>
      <c r="V34" s="22"/>
      <c r="W34" s="22"/>
    </row>
    <row r="35" spans="3:23">
      <c r="C35" s="132"/>
      <c r="D35" s="132"/>
      <c r="E35" s="133"/>
      <c r="F35" s="68" t="s">
        <v>44</v>
      </c>
      <c r="G35" s="72" t="str">
        <f>IF($C$8="","-",MROUND((I31*0.05),G29)&amp;" g)")</f>
        <v>315 g)</v>
      </c>
      <c r="H35" s="70"/>
      <c r="I35" s="71"/>
      <c r="K35" s="132"/>
      <c r="L35" s="132"/>
      <c r="M35" s="133"/>
      <c r="N35" s="68" t="s">
        <v>44</v>
      </c>
      <c r="O35" s="72" t="str">
        <f>ROUND((Q31*0.05),0)&amp;" g)"</f>
        <v>45 g)</v>
      </c>
      <c r="P35" s="70"/>
      <c r="Q35" s="71"/>
      <c r="S35" s="22" t="s">
        <v>38</v>
      </c>
      <c r="T35" s="30" t="str">
        <f>MROUND(T26/1900* 100,G29)&amp;" g"</f>
        <v>140 g</v>
      </c>
      <c r="U35" s="22"/>
      <c r="V35" s="22"/>
      <c r="W35" s="22"/>
    </row>
    <row r="36" spans="3:23">
      <c r="C36" s="132"/>
      <c r="D36" s="132"/>
      <c r="E36" s="133"/>
      <c r="F36" s="68" t="s">
        <v>3</v>
      </c>
      <c r="G36" s="69"/>
      <c r="H36" s="70">
        <v>0.15</v>
      </c>
      <c r="I36" s="71">
        <f>MROUND(H36*I31,G29)</f>
        <v>945</v>
      </c>
      <c r="K36" s="132"/>
      <c r="L36" s="132"/>
      <c r="M36" s="133"/>
      <c r="N36" s="68" t="s">
        <v>3</v>
      </c>
      <c r="O36" s="69"/>
      <c r="P36" s="70">
        <v>0.15</v>
      </c>
      <c r="Q36" s="71">
        <f>MROUND(P36*Q31,G29)</f>
        <v>135</v>
      </c>
      <c r="S36" s="22" t="s">
        <v>8</v>
      </c>
      <c r="T36" s="30" t="str">
        <f>MROUND(T26/2900*100,G29)&amp;" g"</f>
        <v>95 g</v>
      </c>
      <c r="U36" s="22"/>
      <c r="V36" s="122" t="s">
        <v>42</v>
      </c>
      <c r="W36" s="122"/>
    </row>
    <row r="37" spans="3:23">
      <c r="F37" s="10"/>
    </row>
    <row r="39" spans="3:23">
      <c r="C39" s="18"/>
      <c r="D39" s="51"/>
      <c r="K39" s="18"/>
      <c r="L39" s="51"/>
      <c r="M39" s="20"/>
      <c r="S39" s="56" t="str">
        <f>"Womit wäre der Calciumbedarf von "&amp;C9&amp;" an Stelle von RFK noch gedeckt?"</f>
        <v>Womit wäre der Calciumbedarf von Hund 3 an Stelle von RFK noch gedeckt?</v>
      </c>
      <c r="T39" s="21"/>
      <c r="U39" s="22"/>
      <c r="V39" s="22"/>
      <c r="W39" s="22"/>
    </row>
    <row r="40" spans="3:23">
      <c r="C40" s="18"/>
      <c r="D40" s="51"/>
      <c r="K40" s="18"/>
      <c r="L40" s="51"/>
      <c r="M40" s="20"/>
      <c r="S40" s="23" t="s">
        <v>4</v>
      </c>
      <c r="T40" s="22">
        <f>(2.4*L43)*7/(7-$J$9)</f>
        <v>2880</v>
      </c>
      <c r="U40" s="22"/>
      <c r="V40" s="22"/>
      <c r="W40" s="22"/>
    </row>
    <row r="41" spans="3:23" ht="15.75">
      <c r="C41" s="54" t="str">
        <f>C9&amp;"s Wochenbedarf"</f>
        <v>Hund 3s Wochenbedarf</v>
      </c>
      <c r="D41" s="19"/>
      <c r="K41" s="54" t="str">
        <f>C9&amp;"s Tagesbedarf (gerundet)"</f>
        <v>Hund 3s Tagesbedarf (gerundet)</v>
      </c>
      <c r="L41" s="19"/>
      <c r="M41" s="20"/>
      <c r="S41" s="25" t="s">
        <v>39</v>
      </c>
      <c r="T41" s="22"/>
      <c r="U41" s="22"/>
      <c r="V41" s="22"/>
      <c r="W41" s="22"/>
    </row>
    <row r="42" spans="3:23" ht="12.75" customHeight="1">
      <c r="S42" s="22" t="s">
        <v>34</v>
      </c>
      <c r="T42" s="26" t="str">
        <f>ROUND(T40/(1000*0.2108),1)&amp;" g"</f>
        <v>13,7 g</v>
      </c>
      <c r="U42" s="22"/>
      <c r="V42" s="22"/>
      <c r="W42" s="22"/>
    </row>
    <row r="43" spans="3:23">
      <c r="C43" s="4" t="s">
        <v>40</v>
      </c>
      <c r="D43" s="17">
        <f>MROUND(F9*H9*7*1000,G43)</f>
        <v>8400</v>
      </c>
      <c r="F43" s="40" t="s">
        <v>47</v>
      </c>
      <c r="G43" s="39">
        <f>IF(F9&gt;3,5,1)</f>
        <v>5</v>
      </c>
      <c r="K43" s="4" t="s">
        <v>41</v>
      </c>
      <c r="L43" s="17">
        <f>MROUND(IF($C$9="","-",D43/(7-$J$9)),G43)</f>
        <v>1200</v>
      </c>
      <c r="S43" s="22" t="s">
        <v>35</v>
      </c>
      <c r="T43" s="26" t="str">
        <f>ROUND(T40/(1000*0.36),1)&amp;" g"</f>
        <v>8 g</v>
      </c>
      <c r="U43" s="22"/>
      <c r="V43" s="22"/>
      <c r="W43" s="22"/>
    </row>
    <row r="44" spans="3:23">
      <c r="F44" s="39"/>
      <c r="G44" s="39"/>
      <c r="J44" s="7"/>
      <c r="S44" s="22" t="s">
        <v>36</v>
      </c>
      <c r="T44" s="26" t="str">
        <f>ROUND(T40/(1000*0.388),  1)&amp;" g"</f>
        <v>7,4 g</v>
      </c>
      <c r="U44" s="22"/>
      <c r="V44" s="22"/>
      <c r="W44" s="22"/>
    </row>
    <row r="45" spans="3:23" s="7" customFormat="1">
      <c r="C45" s="57" t="s">
        <v>30</v>
      </c>
      <c r="D45" s="58">
        <v>0.2</v>
      </c>
      <c r="E45" s="59">
        <f>MROUND(D45*D43,G43)</f>
        <v>1680</v>
      </c>
      <c r="F45" s="64" t="s">
        <v>29</v>
      </c>
      <c r="G45" s="65"/>
      <c r="H45" s="66">
        <v>0.8</v>
      </c>
      <c r="I45" s="67">
        <f>MROUND(H45*D43,G43)</f>
        <v>6720</v>
      </c>
      <c r="J45" s="3"/>
      <c r="K45" s="57" t="s">
        <v>30</v>
      </c>
      <c r="L45" s="58">
        <v>0.2</v>
      </c>
      <c r="M45" s="59">
        <f>IF(F9&lt;3,L45*L43,MROUND(L45*L43,G43))</f>
        <v>240</v>
      </c>
      <c r="N45" s="64" t="s">
        <v>29</v>
      </c>
      <c r="O45" s="65"/>
      <c r="P45" s="66">
        <v>0.8</v>
      </c>
      <c r="Q45" s="67">
        <f>IF(F9&lt;3,P45*L43,MROUND(P45*L43,G43))</f>
        <v>960</v>
      </c>
      <c r="S45" s="22" t="s">
        <v>32</v>
      </c>
      <c r="T45" s="26" t="str">
        <f>ROUND(T40/(1000*0.25),1)&amp;" g"</f>
        <v>11,5 g</v>
      </c>
      <c r="U45" s="22"/>
      <c r="V45" s="22"/>
      <c r="W45" s="22"/>
    </row>
    <row r="46" spans="3:23">
      <c r="C46" s="60" t="s">
        <v>0</v>
      </c>
      <c r="D46" s="61">
        <v>0.75</v>
      </c>
      <c r="E46" s="62">
        <f>MROUND(E45*D46,G43)</f>
        <v>1260</v>
      </c>
      <c r="F46" s="68" t="s">
        <v>31</v>
      </c>
      <c r="G46" s="69"/>
      <c r="H46" s="70">
        <v>0.5</v>
      </c>
      <c r="I46" s="71">
        <f>MROUND(I45*H46,G43)</f>
        <v>3360</v>
      </c>
      <c r="K46" s="60" t="s">
        <v>0</v>
      </c>
      <c r="L46" s="61">
        <v>0.75</v>
      </c>
      <c r="M46" s="63">
        <f>MROUND(M45*L46,G43)</f>
        <v>180</v>
      </c>
      <c r="N46" s="68" t="s">
        <v>31</v>
      </c>
      <c r="O46" s="69"/>
      <c r="P46" s="70">
        <v>0.5</v>
      </c>
      <c r="Q46" s="71">
        <f>MROUND(Q45*P46,G43)</f>
        <v>480</v>
      </c>
      <c r="S46" s="22" t="s">
        <v>24</v>
      </c>
      <c r="T46" s="27" t="str">
        <f>MROUND(T40/1000*100,G43)&amp;" g"</f>
        <v>290 g</v>
      </c>
      <c r="U46" s="28"/>
      <c r="V46" s="22"/>
      <c r="W46" s="22"/>
    </row>
    <row r="47" spans="3:23">
      <c r="C47" s="60" t="s">
        <v>1</v>
      </c>
      <c r="D47" s="61">
        <v>0.25</v>
      </c>
      <c r="E47" s="62">
        <f>E45-E46</f>
        <v>420</v>
      </c>
      <c r="F47" s="68" t="s">
        <v>43</v>
      </c>
      <c r="G47" s="69"/>
      <c r="H47" s="70">
        <v>0.2</v>
      </c>
      <c r="I47" s="71">
        <f>I45-I46-I48-I50</f>
        <v>1340</v>
      </c>
      <c r="K47" s="60" t="s">
        <v>1</v>
      </c>
      <c r="L47" s="61">
        <v>0.25</v>
      </c>
      <c r="M47" s="63">
        <f>M45-M46</f>
        <v>60</v>
      </c>
      <c r="N47" s="68" t="s">
        <v>43</v>
      </c>
      <c r="O47" s="69"/>
      <c r="P47" s="70">
        <v>0.2</v>
      </c>
      <c r="Q47" s="71">
        <f>Q45-Q46-Q48-Q50</f>
        <v>190</v>
      </c>
      <c r="S47" s="29" t="s">
        <v>37</v>
      </c>
      <c r="T47" s="30" t="str">
        <f>MROUND(T40/1000*100,G43)&amp;" g"</f>
        <v>290 g</v>
      </c>
      <c r="U47" s="22"/>
      <c r="V47" s="22"/>
      <c r="W47" s="22"/>
    </row>
    <row r="48" spans="3:23">
      <c r="C48" s="129"/>
      <c r="D48" s="137"/>
      <c r="E48" s="138"/>
      <c r="F48" s="68" t="s">
        <v>2</v>
      </c>
      <c r="G48" s="69"/>
      <c r="H48" s="70">
        <v>0.15</v>
      </c>
      <c r="I48" s="71">
        <f>MROUND(I45*H48,G43)</f>
        <v>1010</v>
      </c>
      <c r="K48" s="129"/>
      <c r="L48" s="130"/>
      <c r="M48" s="131"/>
      <c r="N48" s="68" t="s">
        <v>2</v>
      </c>
      <c r="O48" s="69"/>
      <c r="P48" s="70">
        <v>0.15</v>
      </c>
      <c r="Q48" s="71">
        <f>MROUND(Q45*P48,G43)</f>
        <v>145</v>
      </c>
      <c r="S48" s="22" t="s">
        <v>21</v>
      </c>
      <c r="T48" s="30" t="str">
        <f>MROUND(T40/1500 * 100,G43)&amp;" g"</f>
        <v>190 g</v>
      </c>
      <c r="U48" s="22"/>
      <c r="V48" s="22"/>
      <c r="W48" s="22"/>
    </row>
    <row r="49" spans="3:23">
      <c r="C49" s="139"/>
      <c r="D49" s="139"/>
      <c r="E49" s="140"/>
      <c r="F49" s="68" t="s">
        <v>44</v>
      </c>
      <c r="G49" s="72" t="str">
        <f>IF($C$8="","-",MROUND((I45*0.05),G43)&amp;" g)")</f>
        <v>335 g)</v>
      </c>
      <c r="H49" s="70"/>
      <c r="I49" s="71"/>
      <c r="K49" s="132"/>
      <c r="L49" s="132"/>
      <c r="M49" s="133"/>
      <c r="N49" s="68" t="s">
        <v>44</v>
      </c>
      <c r="O49" s="72" t="str">
        <f>ROUND((Q45*0.05),0)&amp;" g)"</f>
        <v>48 g)</v>
      </c>
      <c r="P49" s="70"/>
      <c r="Q49" s="71"/>
      <c r="S49" s="22" t="s">
        <v>38</v>
      </c>
      <c r="T49" s="30" t="str">
        <f>MROUND(T40/1900* 100,G43)&amp;" g"</f>
        <v>150 g</v>
      </c>
      <c r="U49" s="22"/>
      <c r="V49" s="22"/>
      <c r="W49" s="22"/>
    </row>
    <row r="50" spans="3:23">
      <c r="C50" s="139"/>
      <c r="D50" s="139"/>
      <c r="E50" s="140"/>
      <c r="F50" s="68" t="s">
        <v>3</v>
      </c>
      <c r="G50" s="69"/>
      <c r="H50" s="70">
        <v>0.15</v>
      </c>
      <c r="I50" s="71">
        <f>MROUND(H50*I45,G43)</f>
        <v>1010</v>
      </c>
      <c r="K50" s="132"/>
      <c r="L50" s="132"/>
      <c r="M50" s="133"/>
      <c r="N50" s="68" t="s">
        <v>3</v>
      </c>
      <c r="O50" s="69"/>
      <c r="P50" s="70">
        <v>0.15</v>
      </c>
      <c r="Q50" s="71">
        <f>MROUND(P50*Q45,G43)</f>
        <v>145</v>
      </c>
      <c r="S50" s="22" t="s">
        <v>8</v>
      </c>
      <c r="T50" s="30" t="str">
        <f>MROUND(T40/2900*100,G43)&amp;" g"</f>
        <v>100 g</v>
      </c>
      <c r="U50" s="22"/>
      <c r="V50" s="122" t="s">
        <v>42</v>
      </c>
      <c r="W50" s="122"/>
    </row>
    <row r="51" spans="3:23">
      <c r="F51" s="10"/>
    </row>
  </sheetData>
  <sheetProtection algorithmName="SHA-512" hashValue="K50/z+kLk9cGlf2S1+DKmFxQJ1w3oyBIDgZW5FC1WAco67HvXb3P0rdUalIoGjD2caVW4oWcGq53X0/6Xpzqew==" saltValue="xuLHREwY1yG8XYT72EJhvg==" spinCount="100000" sheet="1" objects="1" scenarios="1"/>
  <mergeCells count="15">
    <mergeCell ref="E6:F6"/>
    <mergeCell ref="G6:H6"/>
    <mergeCell ref="C6:D6"/>
    <mergeCell ref="V22:W22"/>
    <mergeCell ref="V36:W36"/>
    <mergeCell ref="V50:W50"/>
    <mergeCell ref="C7:D7"/>
    <mergeCell ref="C8:D8"/>
    <mergeCell ref="C9:D9"/>
    <mergeCell ref="K20:M22"/>
    <mergeCell ref="K34:M36"/>
    <mergeCell ref="K48:M50"/>
    <mergeCell ref="C20:E22"/>
    <mergeCell ref="C34:E36"/>
    <mergeCell ref="C48:E50"/>
  </mergeCells>
  <conditionalFormatting sqref="B8:N9">
    <cfRule type="expression" dxfId="30" priority="11">
      <formula>$D$5=1</formula>
    </cfRule>
  </conditionalFormatting>
  <conditionalFormatting sqref="B9:N9">
    <cfRule type="expression" dxfId="29" priority="10">
      <formula>OR($D$5=1, $D$5=2)</formula>
    </cfRule>
  </conditionalFormatting>
  <conditionalFormatting sqref="A25:W36">
    <cfRule type="expression" dxfId="28" priority="9">
      <formula>$D$5=1</formula>
    </cfRule>
  </conditionalFormatting>
  <conditionalFormatting sqref="C39:W50">
    <cfRule type="expression" dxfId="27" priority="1">
      <formula>OR($D$5=1, $D$5=2)</formula>
    </cfRule>
  </conditionalFormatting>
  <dataValidations count="6">
    <dataValidation type="list" allowBlank="1" showInputMessage="1" showErrorMessage="1" error="Sie haben einen Wert eingegeben der nicht 1,2 oder 3 beträgt" promptTitle="Anzahl der Hunde" prompt="Haben Sie 1, 2 oder 3 Hunde ?" sqref="D5">
      <formula1>$AJ$7:$AJ$9</formula1>
    </dataValidation>
    <dataValidation allowBlank="1" showInputMessage="1" showErrorMessage="1" promptTitle="Calciumversorgung" prompt="Die graue Tabelle ist nur dann relevant, wenn der Hund keine RFK oder nur weiche RFK verträgt. In diesen Fällen muss ein Supplement gefüttert oder der RFK-Anteil angepasst werden. Die Werte verstehen sich als ODER-Angaben." sqref="V22 V36 V50"/>
    <dataValidation type="list" allowBlank="1" showInputMessage="1" showErrorMessage="1" promptTitle="Kastration" prompt="Ist Ihr Hund kastriert ? _x000a_Bitte ja oder nein auswählen" sqref="L9">
      <formula1>$AK$11:$AK$12</formula1>
    </dataValidation>
    <dataValidation type="list" allowBlank="1" showInputMessage="1" showErrorMessage="1" promptTitle="Aktivitätsgrad" prompt="Wieviele Stunden am Tag hat Ihr Hund Aktivität (Training, Spaziergänge, Spielen)" sqref="N9">
      <formula1>$AH$7:$AH$12</formula1>
    </dataValidation>
    <dataValidation type="list" allowBlank="1" showInputMessage="1" showErrorMessage="1" promptTitle="Aktivitätsgrad" prompt="Wieviele Stunden am Tag hat Ihr Hund Aktivität (Training, Spaziergänge, Spielen)" sqref="N7 N8">
      <formula1>$AH$7:$AH$12</formula1>
    </dataValidation>
    <dataValidation type="list" allowBlank="1" showInputMessage="1" showErrorMessage="1" promptTitle="Kastration" prompt="Ist Ihr Hund kastriert ? _x000a_Bitte ja oder nein auswählen" sqref="L7 L8">
      <formula1>$AK$11:$AK$12</formula1>
    </dataValidation>
  </dataValidations>
  <pageMargins left="0.70866141732283472" right="0.70866141732283472" top="0.78740157480314965" bottom="0.78740157480314965" header="0.31496062992125984" footer="0.31496062992125984"/>
  <pageSetup paperSize="9" scale="46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33"/>
  <sheetViews>
    <sheetView workbookViewId="0">
      <selection activeCell="E5" sqref="E5"/>
    </sheetView>
  </sheetViews>
  <sheetFormatPr baseColWidth="10" defaultRowHeight="12.75"/>
  <cols>
    <col min="1" max="1" width="8.42578125" style="1" customWidth="1"/>
    <col min="2" max="2" width="17.7109375" style="1" customWidth="1"/>
    <col min="3" max="3" width="14.85546875" style="45" customWidth="1"/>
    <col min="4" max="4" width="14.140625" style="45" customWidth="1"/>
    <col min="5" max="5" width="13.42578125" style="45" customWidth="1"/>
    <col min="6" max="6" width="14.85546875" style="45" customWidth="1"/>
    <col min="7" max="7" width="12.85546875" style="45" customWidth="1"/>
    <col min="8" max="16384" width="11.42578125" style="1"/>
  </cols>
  <sheetData>
    <row r="1" spans="1:16" ht="34.5">
      <c r="A1" s="52"/>
      <c r="B1" s="52" t="s">
        <v>48</v>
      </c>
      <c r="C1" s="44"/>
      <c r="D1" s="44"/>
      <c r="E1" s="44"/>
      <c r="F1" s="44"/>
    </row>
    <row r="2" spans="1:16" ht="14.25">
      <c r="A2" s="79"/>
      <c r="B2" s="79" t="s">
        <v>49</v>
      </c>
      <c r="C2" s="44"/>
      <c r="D2" s="44"/>
      <c r="E2" s="44"/>
      <c r="F2" s="44"/>
    </row>
    <row r="3" spans="1:16" ht="16.5">
      <c r="A3" s="47"/>
      <c r="B3" s="47" t="s">
        <v>12</v>
      </c>
      <c r="C3" s="46"/>
      <c r="D3" s="46"/>
      <c r="E3" s="46"/>
      <c r="F3" s="46"/>
    </row>
    <row r="4" spans="1:16" ht="16.5">
      <c r="A4" s="47"/>
      <c r="B4" s="47"/>
      <c r="C4" s="46"/>
      <c r="D4" s="46"/>
      <c r="E4" s="46"/>
      <c r="F4" s="46"/>
    </row>
    <row r="5" spans="1:16" ht="16.5">
      <c r="A5" s="47"/>
      <c r="B5" s="145" t="s">
        <v>68</v>
      </c>
      <c r="C5" s="145"/>
      <c r="D5" s="145"/>
      <c r="E5" s="120" t="s">
        <v>77</v>
      </c>
      <c r="F5" s="46" t="s">
        <v>69</v>
      </c>
      <c r="J5" s="118"/>
      <c r="K5" s="118"/>
      <c r="L5" s="118"/>
      <c r="M5" s="118"/>
      <c r="N5" s="118"/>
      <c r="O5" s="118"/>
      <c r="P5" s="118"/>
    </row>
    <row r="6" spans="1:16" ht="13.5" thickBot="1">
      <c r="J6" s="118"/>
      <c r="K6" s="118"/>
      <c r="L6" s="104" t="s">
        <v>77</v>
      </c>
      <c r="M6" s="118"/>
      <c r="N6" s="118"/>
      <c r="O6" s="118"/>
      <c r="P6" s="118"/>
    </row>
    <row r="7" spans="1:16" s="8" customFormat="1" ht="18" customHeight="1" thickBot="1">
      <c r="A7" s="41"/>
      <c r="B7" s="143" t="s">
        <v>5</v>
      </c>
      <c r="C7" s="144"/>
      <c r="D7" s="117" t="s">
        <v>73</v>
      </c>
      <c r="E7" s="117" t="s">
        <v>74</v>
      </c>
      <c r="F7" s="117" t="s">
        <v>75</v>
      </c>
      <c r="G7" s="117" t="s">
        <v>76</v>
      </c>
      <c r="J7" s="119"/>
      <c r="K7" s="119"/>
      <c r="L7" s="104">
        <v>5</v>
      </c>
      <c r="M7" s="119"/>
      <c r="N7" s="119"/>
      <c r="O7" s="119"/>
      <c r="P7" s="119"/>
    </row>
    <row r="8" spans="1:16" ht="17.25" thickBot="1">
      <c r="A8" s="82"/>
      <c r="B8" s="80" t="s">
        <v>17</v>
      </c>
      <c r="C8" s="49"/>
      <c r="D8" s="115">
        <v>0</v>
      </c>
      <c r="E8" s="115"/>
      <c r="F8" s="115"/>
      <c r="G8" s="115"/>
      <c r="J8" s="118"/>
      <c r="K8" s="118"/>
      <c r="L8" s="104">
        <v>10</v>
      </c>
      <c r="M8" s="118"/>
      <c r="N8" s="118"/>
      <c r="O8" s="118"/>
      <c r="P8" s="118"/>
    </row>
    <row r="9" spans="1:16" ht="17.25" thickBot="1">
      <c r="A9" s="83"/>
      <c r="B9" s="81" t="s">
        <v>24</v>
      </c>
      <c r="C9" s="50"/>
      <c r="D9" s="116"/>
      <c r="E9" s="116"/>
      <c r="F9" s="116"/>
      <c r="G9" s="116">
        <v>0</v>
      </c>
      <c r="J9" s="118"/>
      <c r="K9" s="118"/>
      <c r="L9" s="104">
        <v>15</v>
      </c>
      <c r="M9" s="118"/>
      <c r="N9" s="118"/>
      <c r="O9" s="118"/>
      <c r="P9" s="118"/>
    </row>
    <row r="10" spans="1:16" ht="17.25" thickBot="1">
      <c r="A10" s="83"/>
      <c r="B10" s="81" t="s">
        <v>21</v>
      </c>
      <c r="C10" s="50"/>
      <c r="D10" s="116"/>
      <c r="E10" s="116"/>
      <c r="F10" s="116"/>
      <c r="G10" s="116">
        <v>0</v>
      </c>
      <c r="J10" s="118"/>
      <c r="K10" s="118"/>
      <c r="L10" s="104">
        <v>20</v>
      </c>
      <c r="M10" s="118"/>
      <c r="N10" s="118"/>
      <c r="O10" s="118"/>
      <c r="P10" s="118"/>
    </row>
    <row r="11" spans="1:16" ht="17.25" thickBot="1">
      <c r="A11" s="83"/>
      <c r="B11" s="81" t="s">
        <v>9</v>
      </c>
      <c r="C11" s="50"/>
      <c r="D11" s="116"/>
      <c r="E11" s="116"/>
      <c r="F11" s="116"/>
      <c r="G11" s="116">
        <v>0</v>
      </c>
      <c r="I11" s="3"/>
      <c r="J11" s="118"/>
      <c r="K11" s="118"/>
      <c r="L11" s="104">
        <v>25</v>
      </c>
      <c r="M11" s="118"/>
      <c r="N11" s="118"/>
      <c r="O11" s="118"/>
      <c r="P11" s="118"/>
    </row>
    <row r="12" spans="1:16" ht="17.25" thickBot="1">
      <c r="A12" s="83"/>
      <c r="B12" s="81" t="s">
        <v>23</v>
      </c>
      <c r="C12" s="50"/>
      <c r="D12" s="116"/>
      <c r="E12" s="116"/>
      <c r="F12" s="116">
        <v>0</v>
      </c>
      <c r="G12" s="116"/>
      <c r="J12" s="118"/>
      <c r="K12" s="118"/>
      <c r="L12" s="104">
        <v>28</v>
      </c>
      <c r="M12" s="118"/>
      <c r="N12" s="118"/>
      <c r="O12" s="118"/>
      <c r="P12" s="118"/>
    </row>
    <row r="13" spans="1:16" ht="17.25" thickBot="1">
      <c r="A13" s="83"/>
      <c r="B13" s="81" t="s">
        <v>14</v>
      </c>
      <c r="C13" s="50"/>
      <c r="D13" s="116">
        <v>0</v>
      </c>
      <c r="E13" s="116"/>
      <c r="F13" s="116"/>
      <c r="G13" s="116"/>
      <c r="J13" s="118"/>
      <c r="K13" s="118"/>
      <c r="L13" s="118"/>
      <c r="M13" s="118"/>
      <c r="N13" s="118"/>
      <c r="O13" s="118"/>
      <c r="P13" s="118"/>
    </row>
    <row r="14" spans="1:16" ht="17.25" thickBot="1">
      <c r="A14" s="83"/>
      <c r="B14" s="81" t="s">
        <v>10</v>
      </c>
      <c r="C14" s="50"/>
      <c r="D14" s="116">
        <v>0</v>
      </c>
      <c r="E14" s="116"/>
      <c r="F14" s="116"/>
      <c r="G14" s="116"/>
      <c r="J14" s="118"/>
      <c r="K14" s="118"/>
      <c r="L14" s="118"/>
      <c r="M14" s="118"/>
      <c r="N14" s="118"/>
      <c r="O14" s="118"/>
      <c r="P14" s="118"/>
    </row>
    <row r="15" spans="1:16" ht="17.25" thickBot="1">
      <c r="A15" s="83"/>
      <c r="B15" s="81" t="s">
        <v>18</v>
      </c>
      <c r="C15" s="50"/>
      <c r="D15" s="116"/>
      <c r="E15" s="116"/>
      <c r="F15" s="116"/>
      <c r="G15" s="116">
        <v>0</v>
      </c>
      <c r="J15" s="118"/>
      <c r="K15" s="118"/>
      <c r="L15" s="118"/>
      <c r="M15" s="118"/>
      <c r="N15" s="118"/>
      <c r="O15" s="118"/>
      <c r="P15" s="118"/>
    </row>
    <row r="16" spans="1:16" ht="17.25" thickBot="1">
      <c r="A16" s="83"/>
      <c r="B16" s="81" t="s">
        <v>11</v>
      </c>
      <c r="C16" s="50"/>
      <c r="D16" s="116"/>
      <c r="E16" s="116"/>
      <c r="F16" s="116">
        <v>0</v>
      </c>
      <c r="G16" s="116"/>
      <c r="J16" s="118"/>
      <c r="K16" s="118"/>
      <c r="L16" s="118"/>
      <c r="M16" s="118"/>
      <c r="N16" s="118"/>
      <c r="O16" s="118"/>
      <c r="P16" s="118"/>
    </row>
    <row r="17" spans="1:16" ht="17.25" thickBot="1">
      <c r="A17" s="83"/>
      <c r="B17" s="81" t="s">
        <v>22</v>
      </c>
      <c r="C17" s="50"/>
      <c r="D17" s="116"/>
      <c r="E17" s="116">
        <v>0</v>
      </c>
      <c r="F17" s="116"/>
      <c r="G17" s="116"/>
      <c r="J17" s="118"/>
      <c r="K17" s="118"/>
      <c r="L17" s="118"/>
      <c r="M17" s="118"/>
      <c r="N17" s="118"/>
      <c r="O17" s="118"/>
      <c r="P17" s="118"/>
    </row>
    <row r="18" spans="1:16" ht="17.25" thickBot="1">
      <c r="A18" s="83"/>
      <c r="B18" s="81" t="s">
        <v>8</v>
      </c>
      <c r="C18" s="50"/>
      <c r="D18" s="116"/>
      <c r="E18" s="116"/>
      <c r="F18" s="116"/>
      <c r="G18" s="116">
        <v>0</v>
      </c>
      <c r="J18" s="118"/>
      <c r="K18" s="118"/>
      <c r="L18" s="118"/>
      <c r="M18" s="118"/>
      <c r="N18" s="118"/>
      <c r="O18" s="118"/>
      <c r="P18" s="118"/>
    </row>
    <row r="19" spans="1:16" ht="17.25" thickBot="1">
      <c r="A19" s="83"/>
      <c r="B19" s="81" t="s">
        <v>6</v>
      </c>
      <c r="C19" s="50"/>
      <c r="D19" s="116">
        <v>0</v>
      </c>
      <c r="E19" s="116"/>
      <c r="F19" s="116"/>
      <c r="G19" s="116"/>
      <c r="J19" s="118"/>
      <c r="K19" s="118"/>
      <c r="L19" s="118"/>
      <c r="M19" s="118"/>
      <c r="N19" s="118"/>
      <c r="O19" s="118"/>
      <c r="P19" s="118"/>
    </row>
    <row r="20" spans="1:16" ht="17.25" thickBot="1">
      <c r="A20" s="83"/>
      <c r="B20" s="81" t="s">
        <v>19</v>
      </c>
      <c r="C20" s="50"/>
      <c r="D20" s="116"/>
      <c r="E20" s="116"/>
      <c r="F20" s="116">
        <v>0</v>
      </c>
      <c r="G20" s="116"/>
      <c r="J20" s="118"/>
      <c r="K20" s="118"/>
      <c r="L20" s="118"/>
      <c r="M20" s="118"/>
      <c r="N20" s="118"/>
      <c r="O20" s="118"/>
      <c r="P20" s="118"/>
    </row>
    <row r="21" spans="1:16" ht="17.25" thickBot="1">
      <c r="A21" s="83"/>
      <c r="B21" s="81" t="s">
        <v>16</v>
      </c>
      <c r="C21" s="50"/>
      <c r="D21" s="116"/>
      <c r="E21" s="116"/>
      <c r="F21" s="116"/>
      <c r="G21" s="116">
        <v>0</v>
      </c>
      <c r="J21" s="118"/>
      <c r="K21" s="118"/>
      <c r="L21" s="118"/>
      <c r="M21" s="118"/>
      <c r="N21" s="118"/>
      <c r="O21" s="118"/>
      <c r="P21" s="118"/>
    </row>
    <row r="22" spans="1:16" ht="17.25" thickBot="1">
      <c r="A22" s="83"/>
      <c r="B22" s="81" t="s">
        <v>7</v>
      </c>
      <c r="C22" s="50"/>
      <c r="D22" s="116"/>
      <c r="E22" s="116"/>
      <c r="F22" s="116">
        <v>0</v>
      </c>
      <c r="G22" s="116"/>
      <c r="J22" s="118"/>
      <c r="K22" s="118"/>
      <c r="L22" s="118"/>
      <c r="M22" s="118"/>
      <c r="N22" s="118"/>
      <c r="O22" s="118"/>
      <c r="P22" s="118"/>
    </row>
    <row r="23" spans="1:16" ht="17.25" thickBot="1">
      <c r="A23" s="83"/>
      <c r="B23" s="81" t="s">
        <v>20</v>
      </c>
      <c r="C23" s="50"/>
      <c r="D23" s="116"/>
      <c r="E23" s="116"/>
      <c r="F23" s="116">
        <v>0</v>
      </c>
      <c r="G23" s="116"/>
      <c r="J23" s="118"/>
      <c r="K23" s="118"/>
      <c r="L23" s="118"/>
      <c r="M23" s="118"/>
      <c r="N23" s="118"/>
      <c r="O23" s="118"/>
      <c r="P23" s="118"/>
    </row>
    <row r="24" spans="1:16" ht="17.25" thickBot="1">
      <c r="A24" s="83"/>
      <c r="B24" s="81" t="s">
        <v>15</v>
      </c>
      <c r="C24" s="50"/>
      <c r="D24" s="116"/>
      <c r="E24" s="116">
        <v>0</v>
      </c>
      <c r="F24" s="116"/>
      <c r="G24" s="116"/>
      <c r="J24" s="118"/>
      <c r="K24" s="118"/>
      <c r="L24" s="118"/>
      <c r="M24" s="118"/>
      <c r="N24" s="118"/>
      <c r="O24" s="118"/>
      <c r="P24" s="118"/>
    </row>
    <row r="25" spans="1:16" ht="17.25" thickBot="1">
      <c r="A25" s="83"/>
      <c r="B25" s="81" t="s">
        <v>13</v>
      </c>
      <c r="C25" s="50"/>
      <c r="D25" s="116">
        <v>0</v>
      </c>
      <c r="E25" s="116"/>
      <c r="F25" s="116"/>
      <c r="G25" s="116"/>
      <c r="J25" s="118"/>
      <c r="K25" s="118"/>
      <c r="L25" s="118"/>
      <c r="M25" s="118"/>
      <c r="N25" s="118"/>
      <c r="O25" s="118"/>
      <c r="P25" s="118"/>
    </row>
    <row r="26" spans="1:16" ht="17.25" thickBot="1">
      <c r="A26" s="83"/>
      <c r="B26" s="105"/>
      <c r="C26" s="106"/>
      <c r="D26" s="121"/>
      <c r="E26" s="121"/>
      <c r="F26" s="121"/>
      <c r="G26" s="121"/>
      <c r="J26" s="118"/>
      <c r="K26" s="118"/>
      <c r="L26" s="118"/>
      <c r="M26" s="118"/>
      <c r="N26" s="118"/>
      <c r="O26" s="118"/>
      <c r="P26" s="118"/>
    </row>
    <row r="27" spans="1:16" s="8" customFormat="1" ht="17.25" thickBot="1">
      <c r="A27" s="83"/>
      <c r="B27" s="107" t="s">
        <v>72</v>
      </c>
      <c r="C27" s="114">
        <f>SUM(D27:G27)</f>
        <v>0</v>
      </c>
      <c r="D27" s="114">
        <f>SUM(D8:D26)</f>
        <v>0</v>
      </c>
      <c r="E27" s="114">
        <f>SUM(E8:E26)</f>
        <v>0</v>
      </c>
      <c r="F27" s="114">
        <f>SUM(F8:F26)</f>
        <v>0</v>
      </c>
      <c r="G27" s="114">
        <f>SUM(G8:G26)</f>
        <v>0</v>
      </c>
      <c r="H27" s="4"/>
      <c r="J27" s="119"/>
      <c r="K27" s="119"/>
      <c r="L27" s="119"/>
      <c r="M27" s="119"/>
      <c r="N27" s="119"/>
      <c r="O27" s="119"/>
      <c r="P27" s="119"/>
    </row>
    <row r="28" spans="1:16" s="8" customFormat="1" ht="17.25" thickBot="1">
      <c r="A28" s="83"/>
      <c r="B28" s="107" t="str">
        <f>IF(ISNUMBER(E5),"Gesamt Soll [g]","")</f>
        <v/>
      </c>
      <c r="C28" s="108" t="str">
        <f>IF(ISNUMBER(E5),E5*1000,"")</f>
        <v/>
      </c>
      <c r="D28" s="108" t="str">
        <f>IF(ISNUMBER($C$28),$C$28*D29,"")</f>
        <v/>
      </c>
      <c r="E28" s="108" t="str">
        <f t="shared" ref="E28:G28" si="0">IF(ISNUMBER($C$28),$C$28*E29,"")</f>
        <v/>
      </c>
      <c r="F28" s="108" t="str">
        <f t="shared" si="0"/>
        <v/>
      </c>
      <c r="G28" s="108" t="str">
        <f t="shared" si="0"/>
        <v/>
      </c>
      <c r="H28" s="4"/>
    </row>
    <row r="29" spans="1:16" ht="17.25" thickBot="1">
      <c r="A29" s="83"/>
      <c r="B29" s="109" t="s">
        <v>70</v>
      </c>
      <c r="C29" s="110">
        <f>SUM(D29:G29)</f>
        <v>1</v>
      </c>
      <c r="D29" s="113">
        <v>0.5</v>
      </c>
      <c r="E29" s="113">
        <v>0.2</v>
      </c>
      <c r="F29" s="113">
        <v>0.15</v>
      </c>
      <c r="G29" s="113">
        <v>0.15</v>
      </c>
    </row>
    <row r="30" spans="1:16" ht="16.5">
      <c r="A30" s="84"/>
      <c r="B30" s="109" t="s">
        <v>71</v>
      </c>
      <c r="C30" s="112">
        <f>SUM(D30:G30)</f>
        <v>0</v>
      </c>
      <c r="D30" s="111">
        <f>IF(D27&gt;0,D27/$C$27,0)</f>
        <v>0</v>
      </c>
      <c r="E30" s="111">
        <f t="shared" ref="E30:G30" si="1">IF(E27&gt;0,E27/$C$27,0)</f>
        <v>0</v>
      </c>
      <c r="F30" s="111">
        <f t="shared" si="1"/>
        <v>0</v>
      </c>
      <c r="G30" s="111">
        <f t="shared" si="1"/>
        <v>0</v>
      </c>
    </row>
    <row r="31" spans="1:16">
      <c r="D31" s="48"/>
      <c r="E31" s="48"/>
      <c r="F31" s="48"/>
      <c r="G31" s="48"/>
    </row>
    <row r="32" spans="1:16">
      <c r="A32" s="8"/>
      <c r="B32" s="8" t="str">
        <f>IF(C27&gt;28000, "Achtung, maximale Bestellmenge überschritten!", "")</f>
        <v/>
      </c>
      <c r="D32" s="48"/>
      <c r="E32" s="48"/>
      <c r="F32" s="48"/>
      <c r="G32" s="48"/>
    </row>
    <row r="33" spans="4:7">
      <c r="D33" s="48"/>
      <c r="E33" s="48"/>
      <c r="F33" s="48"/>
      <c r="G33" s="48"/>
    </row>
  </sheetData>
  <sheetProtection algorithmName="SHA-512" hashValue="9bY8rtGZMHBiXhrqaFhxANEOYMV4+b59g9EaEO2T/AcRER6PkUMvg2xVjuXfwuANY5JuozwM5qdM2OcYWrBBVA==" saltValue="6P3x9/MpHmt/QykD/ItEww==" spinCount="100000" sheet="1" objects="1" scenarios="1" insertRows="0" deleteRows="0" selectLockedCells="1" sort="0" autoFilter="0"/>
  <dataConsolidate/>
  <mergeCells count="2">
    <mergeCell ref="B7:C7"/>
    <mergeCell ref="B5:D5"/>
  </mergeCells>
  <conditionalFormatting sqref="C27">
    <cfRule type="cellIs" dxfId="26" priority="27" operator="lessThan">
      <formula>$C$28</formula>
    </cfRule>
    <cfRule type="cellIs" dxfId="25" priority="28" operator="greaterThan">
      <formula>$C$28</formula>
    </cfRule>
    <cfRule type="cellIs" dxfId="24" priority="29" operator="equal">
      <formula>$C$28</formula>
    </cfRule>
  </conditionalFormatting>
  <conditionalFormatting sqref="E30">
    <cfRule type="cellIs" dxfId="23" priority="79" operator="between">
      <formula>$E$29-0.02</formula>
      <formula>$E$29+0.02</formula>
    </cfRule>
    <cfRule type="cellIs" dxfId="22" priority="80" operator="lessThan">
      <formula>$E$29-0.02</formula>
    </cfRule>
    <cfRule type="cellIs" dxfId="21" priority="81" operator="greaterThan">
      <formula>$E$29+0.02</formula>
    </cfRule>
  </conditionalFormatting>
  <conditionalFormatting sqref="D30">
    <cfRule type="cellIs" dxfId="20" priority="24" operator="between">
      <formula>$D$29-0.02</formula>
      <formula>$D$29+0.02</formula>
    </cfRule>
    <cfRule type="cellIs" dxfId="19" priority="25" operator="lessThan">
      <formula>$D$29-0.02</formula>
    </cfRule>
    <cfRule type="cellIs" dxfId="18" priority="26" operator="greaterThan">
      <formula>$D$29+0.02</formula>
    </cfRule>
  </conditionalFormatting>
  <conditionalFormatting sqref="F30">
    <cfRule type="cellIs" dxfId="17" priority="21" operator="between">
      <formula>$F$29-0.02</formula>
      <formula>$F$29+0.02</formula>
    </cfRule>
    <cfRule type="cellIs" dxfId="16" priority="22" operator="lessThan">
      <formula>$F$29-0.02</formula>
    </cfRule>
    <cfRule type="cellIs" dxfId="15" priority="23" operator="greaterThan">
      <formula>$F$29+0.02</formula>
    </cfRule>
  </conditionalFormatting>
  <conditionalFormatting sqref="G30">
    <cfRule type="cellIs" dxfId="14" priority="18" operator="between">
      <formula>$G$29-0.02</formula>
      <formula>$G$29+0.02</formula>
    </cfRule>
    <cfRule type="cellIs" dxfId="13" priority="19" operator="lessThan">
      <formula>$G$29-0.02</formula>
    </cfRule>
    <cfRule type="cellIs" dxfId="12" priority="20" operator="greaterThan">
      <formula>$G$29+0.02</formula>
    </cfRule>
  </conditionalFormatting>
  <conditionalFormatting sqref="D27">
    <cfRule type="cellIs" dxfId="11" priority="14" operator="lessThan">
      <formula>$D$28</formula>
    </cfRule>
    <cfRule type="cellIs" dxfId="10" priority="15" operator="greaterThan">
      <formula>$D$28</formula>
    </cfRule>
    <cfRule type="cellIs" dxfId="9" priority="16" operator="equal">
      <formula>$D$28</formula>
    </cfRule>
  </conditionalFormatting>
  <conditionalFormatting sqref="E27">
    <cfRule type="cellIs" dxfId="8" priority="10" operator="lessThan">
      <formula>$E$28</formula>
    </cfRule>
    <cfRule type="cellIs" dxfId="7" priority="11" operator="greaterThan">
      <formula>$E$28</formula>
    </cfRule>
    <cfRule type="cellIs" dxfId="6" priority="12" operator="equal">
      <formula>$E$28</formula>
    </cfRule>
  </conditionalFormatting>
  <conditionalFormatting sqref="F27">
    <cfRule type="cellIs" dxfId="5" priority="6" operator="lessThan">
      <formula>$F$28</formula>
    </cfRule>
    <cfRule type="cellIs" dxfId="4" priority="7" operator="greaterThan">
      <formula>$F$28</formula>
    </cfRule>
    <cfRule type="cellIs" dxfId="3" priority="8" operator="equal">
      <formula>$F$28</formula>
    </cfRule>
  </conditionalFormatting>
  <conditionalFormatting sqref="G27">
    <cfRule type="cellIs" dxfId="2" priority="2" operator="lessThan">
      <formula>$G$28</formula>
    </cfRule>
    <cfRule type="cellIs" dxfId="1" priority="3" operator="greaterThan">
      <formula>$G$28</formula>
    </cfRule>
    <cfRule type="cellIs" dxfId="0" priority="4" operator="equal">
      <formula>$G$28</formula>
    </cfRule>
  </conditionalFormatting>
  <dataValidations count="1">
    <dataValidation type="list" allowBlank="1" showInputMessage="1" showErrorMessage="1" sqref="E5">
      <formula1>BestellmengenMA</formula1>
    </dataValidation>
  </dataValidations>
  <pageMargins left="0.7" right="0.7" top="0.78740157499999996" bottom="0.78740157499999996" header="0.3" footer="0.3"/>
  <pageSetup paperSize="9" orientation="portrait" horizontalDpi="0" verticalDpi="0" r:id="rId1"/>
  <ignoredErrors>
    <ignoredError sqref="C28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287BAA7-03DA-4BAF-B7CA-83273DE82B41}">
            <x14:iconSet iconSet="3Arrows" custom="1">
              <x14:cfvo type="percent">
                <xm:f>0</xm:f>
              </x14:cfvo>
              <x14:cfvo type="formula">
                <xm:f>$C$28</xm:f>
              </x14:cfvo>
              <x14:cfvo type="formula" gte="0">
                <xm:f>$C$28</xm:f>
              </x14:cfvo>
              <x14:cfIcon iconSet="3ArrowsGray" iconId="2"/>
              <x14:cfIcon iconSet="3Symbols2" iconId="2"/>
              <x14:cfIcon iconSet="3ArrowsGray" iconId="0"/>
            </x14:iconSet>
          </x14:cfRule>
          <xm:sqref>C27</xm:sqref>
        </x14:conditionalFormatting>
        <x14:conditionalFormatting xmlns:xm="http://schemas.microsoft.com/office/excel/2006/main">
          <x14:cfRule type="iconSet" priority="13" id="{92804959-585B-4825-A412-CBCB48F9B84A}">
            <x14:iconSet iconSet="3Arrows" custom="1">
              <x14:cfvo type="percent">
                <xm:f>0</xm:f>
              </x14:cfvo>
              <x14:cfvo type="formula">
                <xm:f>$D$28</xm:f>
              </x14:cfvo>
              <x14:cfvo type="formula" gte="0">
                <xm:f>$D$28</xm:f>
              </x14:cfvo>
              <x14:cfIcon iconSet="3ArrowsGray" iconId="2"/>
              <x14:cfIcon iconSet="3Symbols2" iconId="2"/>
              <x14:cfIcon iconSet="3ArrowsGray" iconId="0"/>
            </x14:iconSet>
          </x14:cfRule>
          <xm:sqref>D27</xm:sqref>
        </x14:conditionalFormatting>
        <x14:conditionalFormatting xmlns:xm="http://schemas.microsoft.com/office/excel/2006/main">
          <x14:cfRule type="iconSet" priority="9" id="{C44D8BEB-1B5A-4974-A2F2-7621325F0B64}">
            <x14:iconSet iconSet="3Arrows" custom="1">
              <x14:cfvo type="percent">
                <xm:f>0</xm:f>
              </x14:cfvo>
              <x14:cfvo type="formula">
                <xm:f>$E$28</xm:f>
              </x14:cfvo>
              <x14:cfvo type="formula" gte="0">
                <xm:f>$E$28</xm:f>
              </x14:cfvo>
              <x14:cfIcon iconSet="3ArrowsGray" iconId="2"/>
              <x14:cfIcon iconSet="3Symbols2" iconId="2"/>
              <x14:cfIcon iconSet="3ArrowsGray" iconId="0"/>
            </x14:iconSet>
          </x14:cfRule>
          <xm:sqref>E27</xm:sqref>
        </x14:conditionalFormatting>
        <x14:conditionalFormatting xmlns:xm="http://schemas.microsoft.com/office/excel/2006/main">
          <x14:cfRule type="iconSet" priority="5" id="{E7B2C67C-F29B-4C13-8EB0-657AD2FFAD7C}">
            <x14:iconSet iconSet="3Arrows" custom="1">
              <x14:cfvo type="percent">
                <xm:f>0</xm:f>
              </x14:cfvo>
              <x14:cfvo type="formula">
                <xm:f>$F$28</xm:f>
              </x14:cfvo>
              <x14:cfvo type="formula" gte="0">
                <xm:f>$F$28</xm:f>
              </x14:cfvo>
              <x14:cfIcon iconSet="3ArrowsGray" iconId="2"/>
              <x14:cfIcon iconSet="3Symbols2" iconId="2"/>
              <x14:cfIcon iconSet="3ArrowsGray" iconId="0"/>
            </x14:iconSet>
          </x14:cfRule>
          <xm:sqref>F27</xm:sqref>
        </x14:conditionalFormatting>
        <x14:conditionalFormatting xmlns:xm="http://schemas.microsoft.com/office/excel/2006/main">
          <x14:cfRule type="iconSet" priority="1" id="{9E2C4A41-3D8E-4D40-A6EE-22490F359B71}">
            <x14:iconSet iconSet="3Arrows" custom="1">
              <x14:cfvo type="percent">
                <xm:f>0</xm:f>
              </x14:cfvo>
              <x14:cfvo type="formula">
                <xm:f>$G$28</xm:f>
              </x14:cfvo>
              <x14:cfvo type="formula" gte="0">
                <xm:f>$G$28</xm:f>
              </x14:cfvo>
              <x14:cfIcon iconSet="3ArrowsGray" iconId="2"/>
              <x14:cfIcon iconSet="3Symbols2" iconId="2"/>
              <x14:cfIcon iconSet="3ArrowsGray" iconId="0"/>
            </x14:iconSet>
          </x14:cfRule>
          <xm:sqref>G27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Futterplan</vt:lpstr>
      <vt:lpstr>Fleischbestellung</vt:lpstr>
      <vt:lpstr>Bestellmengen</vt:lpstr>
      <vt:lpstr>BestellmengenMA</vt:lpstr>
      <vt:lpstr>bitte_wählen</vt:lpstr>
      <vt:lpstr>Futterplan!Druckbereich</vt:lpstr>
      <vt:lpstr>Mengenauswahl</vt:lpstr>
    </vt:vector>
  </TitlesOfParts>
  <Company>PC-WARE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Shiraa</dc:creator>
  <cp:lastModifiedBy>Frank</cp:lastModifiedBy>
  <cp:lastPrinted>2015-11-10T21:39:59Z</cp:lastPrinted>
  <dcterms:created xsi:type="dcterms:W3CDTF">2008-07-19T19:53:30Z</dcterms:created>
  <dcterms:modified xsi:type="dcterms:W3CDTF">2016-02-03T16:31:18Z</dcterms:modified>
</cp:coreProperties>
</file>